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720" windowHeight="6945" tabRatio="790" activeTab="0"/>
  </bookViews>
  <sheets>
    <sheet name="ITES" sheetId="1" r:id="rId1"/>
  </sheets>
  <definedNames>
    <definedName name="_xlnm.Print_Titles" localSheetId="0">'ITES'!$1:$7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<sst xmlns="http://schemas.openxmlformats.org/spreadsheetml/2006/main" count="255" uniqueCount="236">
  <si>
    <t>ADMINISTRACION CENTRAL INGRESOS</t>
  </si>
  <si>
    <t>PRESUPUESTO Y EJECUCION DE INGRESOS 1991-1995</t>
  </si>
  <si>
    <t>MILES DE PESOS CORRIENTES</t>
  </si>
  <si>
    <t>PRESUPUESTO</t>
  </si>
  <si>
    <t>CODIGO</t>
  </si>
  <si>
    <t>CUENTA</t>
  </si>
  <si>
    <t>DEFINITIVO</t>
  </si>
  <si>
    <t>RECAUDO</t>
  </si>
  <si>
    <t>EJEC.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</si>
  <si>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</si>
  <si>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</si>
  <si>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</si>
  <si>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</si>
  <si>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</si>
  <si>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</si>
  <si>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</si>
  <si>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</si>
  <si>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</si>
  <si>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</si>
  <si>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</si>
  <si>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</si>
  <si>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</si>
  <si>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</si>
  <si>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</si>
  <si>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</si>
  <si>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</si>
  <si>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</si>
  <si>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</si>
  <si>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</si>
  <si>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</si>
  <si>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</si>
  <si>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</si>
  <si>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</si>
  <si>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</si>
  <si>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</si>
  <si>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</si>
  <si>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</si>
  <si>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</si>
  <si>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Residencial</t>
  </si>
  <si>
    <t>2120102</t>
  </si>
  <si>
    <t>Comercial</t>
  </si>
  <si>
    <t>2120103</t>
  </si>
  <si>
    <t>Industrial</t>
  </si>
  <si>
    <t>2120104</t>
  </si>
  <si>
    <t>Oficial</t>
  </si>
  <si>
    <t>2120105</t>
  </si>
  <si>
    <t>Alumbrado Público</t>
  </si>
  <si>
    <t>2120106</t>
  </si>
  <si>
    <t>Bloque a Otras Entidades</t>
  </si>
  <si>
    <t>2120107</t>
  </si>
  <si>
    <t xml:space="preserve">Ventas de Energía EEB Generador </t>
  </si>
  <si>
    <t>2120108</t>
  </si>
  <si>
    <t>Derecho por uso Red de Transmisión</t>
  </si>
  <si>
    <t>2120109</t>
  </si>
  <si>
    <t>Cuotas de Conexión</t>
  </si>
  <si>
    <t>2120110</t>
  </si>
  <si>
    <t>Telefonía Local</t>
  </si>
  <si>
    <t>2120111</t>
  </si>
  <si>
    <t>Servicios Adicionales de Telefonía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</si>
  <si>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</si>
  <si>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</si>
  <si>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</si>
  <si>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</si>
  <si>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</si>
  <si>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</si>
  <si>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</si>
  <si>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</si>
  <si>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</si>
  <si>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 y Productos</t>
  </si>
  <si>
    <t>2120403</t>
  </si>
  <si>
    <t>Cartera Hipotecaria</t>
  </si>
  <si>
    <t>2120404</t>
  </si>
  <si>
    <t>Concesión</t>
  </si>
  <si>
    <t>2120405</t>
  </si>
  <si>
    <t>Explotación de Bienes</t>
  </si>
  <si>
    <t>2120406</t>
  </si>
  <si>
    <t>Arrendamientos</t>
  </si>
  <si>
    <t>2120407</t>
  </si>
  <si>
    <t>Comisión por Convenios</t>
  </si>
  <si>
    <t>2120408</t>
  </si>
  <si>
    <t>Aportes Favidi</t>
  </si>
  <si>
    <t>2120409</t>
  </si>
  <si>
    <t>Aportes Caja de Previsión Social</t>
  </si>
  <si>
    <t>2120410</t>
  </si>
  <si>
    <t>Impuesto a la venta de licores</t>
  </si>
  <si>
    <t>2120411</t>
  </si>
  <si>
    <t>Ingreso juego loterías y apuestas</t>
  </si>
  <si>
    <t>2120412</t>
  </si>
  <si>
    <t>Reintegros</t>
  </si>
  <si>
    <t>2120413</t>
  </si>
  <si>
    <t>Amortización Crédito</t>
  </si>
  <si>
    <t>2120414</t>
  </si>
  <si>
    <t>Cargo Acceso Abonado</t>
  </si>
  <si>
    <t>2120419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</si>
  <si>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</si>
  <si>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</si>
  <si>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</si>
  <si>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</si>
  <si>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</si>
  <si>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</si>
  <si>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</si>
  <si>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</si>
  <si>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</si>
  <si>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</si>
  <si>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</si>
  <si>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</si>
  <si>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</si>
  <si>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</si>
  <si>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</t>
  </si>
  <si>
    <t>2120603</t>
  </si>
  <si>
    <t>Consumo de Cigarrillos Nales.</t>
  </si>
  <si>
    <t>2120604</t>
  </si>
  <si>
    <t>Transporte de Gas</t>
  </si>
  <si>
    <t>2120605</t>
  </si>
  <si>
    <t>Explotación de Canteras</t>
  </si>
  <si>
    <t>2120606</t>
  </si>
  <si>
    <t>Jundeportes</t>
  </si>
  <si>
    <t>2120607</t>
  </si>
  <si>
    <t>Otras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</si>
  <si>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</si>
  <si>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</si>
  <si>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</si>
  <si>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</si>
  <si>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</si>
  <si>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</si>
  <si>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</si>
  <si>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Adtivos.</t>
  </si>
  <si>
    <t>21210</t>
  </si>
  <si>
    <t>Otros Ingresos no Tributarios</t>
  </si>
  <si>
    <t>2121001</t>
  </si>
  <si>
    <t>Ordinarios</t>
  </si>
  <si>
    <t>2121002</t>
  </si>
  <si>
    <t>Trabajos a Particulares</t>
  </si>
  <si>
    <t>2121003</t>
  </si>
  <si>
    <t>Venta Pliego y Formularios</t>
  </si>
  <si>
    <t>2121004</t>
  </si>
  <si>
    <t>Daños por Terceros</t>
  </si>
  <si>
    <t>2121005</t>
  </si>
  <si>
    <t>Operacionales</t>
  </si>
  <si>
    <t>2121006</t>
  </si>
  <si>
    <t>Cruce de Cuentas</t>
  </si>
  <si>
    <t>2121007</t>
  </si>
  <si>
    <t>Otros Alarmas</t>
  </si>
  <si>
    <t>2121008</t>
  </si>
  <si>
    <t>Calcamonias</t>
  </si>
  <si>
    <t>2121009</t>
  </si>
  <si>
    <t>No Operativos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</si>
  <si>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</si>
  <si>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</si>
  <si>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</si>
  <si>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</si>
  <si>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</si>
  <si>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</si>
  <si>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</si>
  <si>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</si>
  <si>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</si>
  <si>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Salud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</si>
  <si>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</si>
  <si>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</si>
  <si>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</si>
  <si>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</si>
  <si>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</si>
  <si>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</si>
  <si>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</si>
  <si>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</si>
  <si>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</si>
  <si>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</si>
  <si>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</si>
  <si>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</si>
  <si>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</si>
  <si>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</si>
  <si>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</si>
  <si>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</si>
  <si>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</si>
  <si>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Plan de Gestión Ambiental</t>
  </si>
  <si>
    <t>22303</t>
  </si>
  <si>
    <t>Aportes al Fondo  Pensiones Públicas</t>
  </si>
  <si>
    <t>22304</t>
  </si>
  <si>
    <t>EAAB Fondo Ambiental Emp. Contamin.</t>
  </si>
  <si>
    <t>22305</t>
  </si>
  <si>
    <t>Empresa de Teléfonos de Bogotá</t>
  </si>
  <si>
    <t>22306</t>
  </si>
  <si>
    <t>Instituto D. de Cultura y Turismo</t>
  </si>
  <si>
    <t>22307</t>
  </si>
  <si>
    <t>Alcaldía Mayor -SED-</t>
  </si>
  <si>
    <t>22399</t>
  </si>
  <si>
    <t>Otros Aportes Entidades Descentralizad.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</si>
  <si>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</si>
  <si>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</si>
  <si>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</si>
  <si>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</si>
  <si>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</si>
  <si>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</si>
  <si>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</si>
  <si>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</si>
  <si>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Impuesto de Registro</t>
  </si>
  <si>
    <t>22405</t>
  </si>
  <si>
    <t>22406</t>
  </si>
  <si>
    <t>225</t>
  </si>
  <si>
    <t>OTRAS TRANSFERENCIAS</t>
  </si>
  <si>
    <t>23</t>
  </si>
  <si>
    <t>CONTRIBUCIONES PARAFISCALES</t>
  </si>
  <si>
    <t>231</t>
  </si>
  <si>
    <t>Valorización</t>
  </si>
  <si>
    <t>24</t>
  </si>
  <si>
    <t>RECURSOS DE CAPITAL</t>
  </si>
  <si>
    <t>241</t>
  </si>
  <si>
    <t>RECURSOS DEL BALANCE DEL TESORO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</si>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</sst>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2" borderId="15" xfId="16" applyNumberFormat="1" applyFont="1" applyFill="1" applyBorder="1" applyAlignment="1">
      <alignment/>
    </xf>
    <xf numFmtId="3" fontId="4" fillId="2" borderId="16" xfId="16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180" fontId="4" fillId="0" borderId="19" xfId="0" applyNumberFormat="1" applyFont="1" applyBorder="1" applyAlignment="1" applyProtection="1">
      <alignment/>
      <protection/>
    </xf>
    <xf numFmtId="180" fontId="5" fillId="0" borderId="19" xfId="0" applyNumberFormat="1" applyFont="1" applyBorder="1" applyAlignment="1" applyProtection="1">
      <alignment/>
      <protection/>
    </xf>
    <xf numFmtId="180" fontId="5" fillId="0" borderId="20" xfId="0" applyNumberFormat="1" applyFont="1" applyBorder="1" applyAlignment="1" applyProtection="1">
      <alignment/>
      <protection/>
    </xf>
    <xf numFmtId="180" fontId="4" fillId="0" borderId="20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5" xfId="0" applyNumberFormat="1" applyFont="1" applyBorder="1" applyAlignment="1">
      <alignment/>
    </xf>
    <xf numFmtId="0" fontId="4" fillId="0" borderId="12" xfId="0" applyFont="1" applyBorder="1" applyAlignment="1">
      <alignment/>
    </xf>
    <xf numFmtId="49" fontId="5" fillId="0" borderId="5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2" borderId="24" xfId="0" applyFont="1" applyFill="1" applyBorder="1" applyAlignment="1">
      <alignment horizontal="lef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29.140625" style="0" customWidth="1"/>
    <col min="3" max="4" width="9.57421875" style="0" customWidth="1"/>
    <col min="5" max="5" width="5.140625" style="0" customWidth="1"/>
    <col min="6" max="7" width="9.57421875" style="0" customWidth="1"/>
    <col min="8" max="8" width="10.00390625" style="0" customWidth="1"/>
    <col min="9" max="10" width="9.57421875" style="0" customWidth="1"/>
    <col min="11" max="13" width="10.00390625" style="0" customWidth="1"/>
    <col min="14" max="14" width="6.140625" style="0" customWidth="1"/>
    <col min="15" max="16" width="9.57421875" style="0" customWidth="1"/>
    <col min="17" max="17" width="5.140625" style="0" customWidth="1"/>
    <col min="18" max="18" width="12.7109375" style="0" hidden="1" customWidth="1"/>
    <col min="19" max="19" width="0" style="0" hidden="1" customWidth="1"/>
  </cols>
  <sheetData>
    <row r="1" spans="1:17" ht="12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2.75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.75">
      <c r="A3" s="11" t="s">
        <v>2</v>
      </c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3:17" ht="13.5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2"/>
      <c r="B5" s="3"/>
      <c r="C5" s="6">
        <v>1991</v>
      </c>
      <c r="D5" s="7"/>
      <c r="E5" s="8"/>
      <c r="F5" s="7">
        <v>1992</v>
      </c>
      <c r="G5" s="7"/>
      <c r="H5" s="7"/>
      <c r="I5" s="6">
        <v>1993</v>
      </c>
      <c r="J5" s="7"/>
      <c r="K5" s="8"/>
      <c r="L5" s="7">
        <v>1994</v>
      </c>
      <c r="M5" s="7"/>
      <c r="N5" s="7"/>
      <c r="O5" s="6">
        <v>1995</v>
      </c>
      <c r="P5" s="7"/>
      <c r="Q5" s="8"/>
    </row>
    <row r="6" spans="1:17" ht="12.75">
      <c r="A6" s="4"/>
      <c r="B6" s="1"/>
      <c r="C6" s="6" t="s">
        <v>3</v>
      </c>
      <c r="D6" s="7"/>
      <c r="E6" s="8"/>
      <c r="F6" s="7" t="s">
        <v>3</v>
      </c>
      <c r="G6" s="7"/>
      <c r="H6" s="7"/>
      <c r="I6" s="6" t="s">
        <v>3</v>
      </c>
      <c r="J6" s="7"/>
      <c r="K6" s="8"/>
      <c r="L6" s="7" t="s">
        <v>3</v>
      </c>
      <c r="M6" s="7"/>
      <c r="N6" s="7"/>
      <c r="O6" s="6" t="s">
        <v>3</v>
      </c>
      <c r="P6" s="7"/>
      <c r="Q6" s="8"/>
    </row>
    <row r="7" spans="1:17" ht="13.5" thickBot="1">
      <c r="A7" s="12" t="s">
        <v>4</v>
      </c>
      <c r="B7" s="13" t="s">
        <v>5</v>
      </c>
      <c r="C7" s="14" t="s">
        <v>6</v>
      </c>
      <c r="D7" s="15" t="s">
        <v>7</v>
      </c>
      <c r="E7" s="16" t="s">
        <v>8</v>
      </c>
      <c r="F7" s="15" t="s">
        <v>6</v>
      </c>
      <c r="G7" s="15" t="s">
        <v>7</v>
      </c>
      <c r="H7" s="13" t="s">
        <v>8</v>
      </c>
      <c r="I7" s="14" t="s">
        <v>6</v>
      </c>
      <c r="J7" s="15" t="s">
        <v>7</v>
      </c>
      <c r="K7" s="16" t="s">
        <v>8</v>
      </c>
      <c r="L7" s="15" t="s">
        <v>6</v>
      </c>
      <c r="M7" s="15" t="s">
        <v>7</v>
      </c>
      <c r="N7" s="13" t="s">
        <v>8</v>
      </c>
      <c r="O7" s="14" t="s">
        <v>6</v>
      </c>
      <c r="P7" s="15" t="s">
        <v>7</v>
      </c>
      <c r="Q7" s="16" t="s">
        <v>8</v>
      </c>
    </row>
    <row r="8" spans="1:19" ht="12.75">
      <c r="A8" s="32" t="s">
        <v>9</v>
      </c>
      <c r="B8" s="33" t="s">
        <v>10</v>
      </c>
      <c r="C8" s="18">
        <f aca="true" t="shared" si="0" ref="C8:P8">SUM(C9+C20)</f>
        <v>144602958</v>
      </c>
      <c r="D8" s="19">
        <f t="shared" si="0"/>
        <v>133041326.5</v>
      </c>
      <c r="E8" s="28">
        <f>IF(OR(D8=0,C8=0),0,D8/C8)*100</f>
        <v>92.00456777654577</v>
      </c>
      <c r="F8" s="18">
        <f t="shared" si="0"/>
        <v>208624956</v>
      </c>
      <c r="G8" s="19">
        <f t="shared" si="0"/>
        <v>191701745</v>
      </c>
      <c r="H8" s="28">
        <f>IF(OR(G8=0,F8=0),0,G8/F8)*100</f>
        <v>91.88821350787966</v>
      </c>
      <c r="I8" s="18">
        <f t="shared" si="0"/>
        <v>264833441</v>
      </c>
      <c r="J8" s="19">
        <f t="shared" si="0"/>
        <v>253217858</v>
      </c>
      <c r="K8" s="28">
        <f>IF(OR(J8=0,I8=0),0,J8/I8)*100</f>
        <v>95.61400442627637</v>
      </c>
      <c r="L8" s="18">
        <f t="shared" si="0"/>
        <v>371830753.7</v>
      </c>
      <c r="M8" s="19">
        <f t="shared" si="0"/>
        <v>448614563.92</v>
      </c>
      <c r="N8" s="28">
        <f>IF(OR(M8=0,L8=0),0,M8/L8)*100</f>
        <v>120.65020428136792</v>
      </c>
      <c r="O8" s="18">
        <f t="shared" si="0"/>
        <v>510406230.4</v>
      </c>
      <c r="P8" s="19">
        <f t="shared" si="0"/>
        <v>533871142</v>
      </c>
      <c r="Q8" s="28">
        <f>IF(OR(P8=0,O8=0),0,P8/O8)*100</f>
        <v>104.59730116962147</v>
      </c>
      <c r="R8" s="40">
        <f>SUM(C8+F8+I8+L8+O8)</f>
        <v>1500298339.1</v>
      </c>
      <c r="S8" s="40">
        <f>SUM(D8+G8+J8+M8+P8)</f>
        <v>1560446635.42</v>
      </c>
    </row>
    <row r="9" spans="1:19" ht="12.75">
      <c r="A9" s="34" t="s">
        <v>11</v>
      </c>
      <c r="B9" s="35" t="s">
        <v>12</v>
      </c>
      <c r="C9" s="20">
        <f aca="true" t="shared" si="1" ref="C9:P9">SUM(C10:C19)</f>
        <v>115957082</v>
      </c>
      <c r="D9" s="21">
        <f t="shared" si="1"/>
        <v>107390739.7</v>
      </c>
      <c r="E9" s="28">
        <f aca="true" t="shared" si="2" ref="E9:E24">IF(OR(D9=0,C9=0),0,D9/C9)*100</f>
        <v>92.61248890343758</v>
      </c>
      <c r="F9" s="20">
        <f t="shared" si="1"/>
        <v>161706169</v>
      </c>
      <c r="G9" s="21">
        <f t="shared" si="1"/>
        <v>153941187</v>
      </c>
      <c r="H9" s="28">
        <f aca="true" t="shared" si="3" ref="H9:H24">IF(OR(G9=0,F9=0),0,G9/F9)*100</f>
        <v>95.19809166958868</v>
      </c>
      <c r="I9" s="20">
        <f t="shared" si="1"/>
        <v>206823587</v>
      </c>
      <c r="J9" s="21">
        <f t="shared" si="1"/>
        <v>199549866</v>
      </c>
      <c r="K9" s="28">
        <f aca="true" t="shared" si="4" ref="K9:K24">IF(OR(J9=0,I9=0),0,J9/I9)*100</f>
        <v>96.48312791325876</v>
      </c>
      <c r="L9" s="20">
        <f t="shared" si="1"/>
        <v>359837753.7</v>
      </c>
      <c r="M9" s="21">
        <f t="shared" si="1"/>
        <v>433185732.7</v>
      </c>
      <c r="N9" s="28">
        <f aca="true" t="shared" si="5" ref="N9:N24">IF(OR(M9=0,L9=0),0,M9/L9)*100</f>
        <v>120.38362518824273</v>
      </c>
      <c r="O9" s="20">
        <f t="shared" si="1"/>
        <v>472479019.2</v>
      </c>
      <c r="P9" s="21">
        <f t="shared" si="1"/>
        <v>490392196</v>
      </c>
      <c r="Q9" s="28">
        <f aca="true" t="shared" si="6" ref="Q9:Q24">IF(OR(P9=0,O9=0),0,P9/O9)*100</f>
        <v>103.79131687801302</v>
      </c>
      <c r="R9" s="40">
        <f aca="true" t="shared" si="7" ref="R9:S24">SUM(C9+F9+I9+L9+O9)</f>
        <v>1316803610.9</v>
      </c>
      <c r="S9" s="40">
        <f t="shared" si="7"/>
        <v>1384459721.4</v>
      </c>
    </row>
    <row r="10" spans="1:19" ht="12.75">
      <c r="A10" s="36" t="s">
        <v>13</v>
      </c>
      <c r="B10" s="17" t="s">
        <v>14</v>
      </c>
      <c r="C10" s="22">
        <f>21079580+2027957</f>
        <v>23107537</v>
      </c>
      <c r="D10" s="23">
        <f>20190380+2005063</f>
        <v>22195443</v>
      </c>
      <c r="E10" s="29">
        <f t="shared" si="2"/>
        <v>96.05282899687666</v>
      </c>
      <c r="F10" s="22">
        <v>40543900</v>
      </c>
      <c r="G10" s="23">
        <v>37347833</v>
      </c>
      <c r="H10" s="29">
        <f t="shared" si="3"/>
        <v>92.1170213028347</v>
      </c>
      <c r="I10" s="22">
        <v>55112278</v>
      </c>
      <c r="J10" s="23">
        <v>45661555</v>
      </c>
      <c r="K10" s="29">
        <f t="shared" si="4"/>
        <v>82.85187376939854</v>
      </c>
      <c r="L10" s="22">
        <v>86781753.7</v>
      </c>
      <c r="M10" s="23">
        <v>98428922.3</v>
      </c>
      <c r="N10" s="29">
        <f t="shared" si="5"/>
        <v>113.42121829003784</v>
      </c>
      <c r="O10" s="22">
        <v>135000000</v>
      </c>
      <c r="P10" s="23">
        <v>127933556</v>
      </c>
      <c r="Q10" s="29">
        <f t="shared" si="6"/>
        <v>94.76559703703704</v>
      </c>
      <c r="R10" s="40">
        <f t="shared" si="7"/>
        <v>340545468.7</v>
      </c>
      <c r="S10" s="40">
        <f t="shared" si="7"/>
        <v>331567309.3</v>
      </c>
    </row>
    <row r="11" spans="1:19" ht="12.75">
      <c r="A11" s="36" t="s">
        <v>15</v>
      </c>
      <c r="B11" s="17" t="s">
        <v>16</v>
      </c>
      <c r="C11" s="22">
        <f>48013251+3038921</f>
        <v>51052172</v>
      </c>
      <c r="D11" s="23">
        <f>45538287.7+3307953.1</f>
        <v>48846240.800000004</v>
      </c>
      <c r="E11" s="29">
        <f t="shared" si="2"/>
        <v>95.67906493772685</v>
      </c>
      <c r="F11" s="22">
        <f>61708860+4303596</f>
        <v>66012456</v>
      </c>
      <c r="G11" s="23">
        <f>60242432+4252318</f>
        <v>64494750</v>
      </c>
      <c r="H11" s="29">
        <f t="shared" si="3"/>
        <v>97.70087936131327</v>
      </c>
      <c r="I11" s="22">
        <f>5657006+75794682</f>
        <v>81451688</v>
      </c>
      <c r="J11" s="23">
        <f>80260146+6106269</f>
        <v>86366415</v>
      </c>
      <c r="K11" s="29">
        <f t="shared" si="4"/>
        <v>106.03391669427404</v>
      </c>
      <c r="L11" s="22">
        <v>172198000</v>
      </c>
      <c r="M11" s="23">
        <v>192277021.6</v>
      </c>
      <c r="N11" s="29">
        <f t="shared" si="5"/>
        <v>111.66042671808034</v>
      </c>
      <c r="O11" s="22">
        <v>194204813.2</v>
      </c>
      <c r="P11" s="23">
        <v>223010100</v>
      </c>
      <c r="Q11" s="29">
        <f t="shared" si="6"/>
        <v>114.83242682061395</v>
      </c>
      <c r="R11" s="40">
        <f t="shared" si="7"/>
        <v>564919129.2</v>
      </c>
      <c r="S11" s="40">
        <f t="shared" si="7"/>
        <v>614994527.4</v>
      </c>
    </row>
    <row r="12" spans="1:19" ht="12.75">
      <c r="A12" s="36" t="s">
        <v>17</v>
      </c>
      <c r="B12" s="17" t="s">
        <v>18</v>
      </c>
      <c r="C12" s="22">
        <f>361251+1870069+405567+1</f>
        <v>2636888</v>
      </c>
      <c r="D12" s="23">
        <f>310649.1+1455096.7+428447.8</f>
        <v>2194193.5999999996</v>
      </c>
      <c r="E12" s="29">
        <f t="shared" si="2"/>
        <v>83.21148262649</v>
      </c>
      <c r="F12" s="22">
        <f>457242+523514+1+2400150</f>
        <v>3380907</v>
      </c>
      <c r="G12" s="23">
        <f>415772+624601+503825</f>
        <v>1544198</v>
      </c>
      <c r="H12" s="29">
        <f t="shared" si="3"/>
        <v>45.67407503371137</v>
      </c>
      <c r="I12" s="22">
        <f>485730+953000+821000+1</f>
        <v>2259731</v>
      </c>
      <c r="J12" s="23">
        <f>576914+972816+682556</f>
        <v>2232286</v>
      </c>
      <c r="K12" s="29">
        <f t="shared" si="4"/>
        <v>98.7854749082966</v>
      </c>
      <c r="L12" s="22">
        <f>700000+1177000+925000</f>
        <v>2802000</v>
      </c>
      <c r="M12" s="23">
        <f>1034847.7+1147874.3+1401587.1</f>
        <v>3584309.1</v>
      </c>
      <c r="N12" s="29">
        <f t="shared" si="5"/>
        <v>127.91966809421842</v>
      </c>
      <c r="O12" s="22">
        <f>1067500+1242360+2129400</f>
        <v>4439260</v>
      </c>
      <c r="P12" s="23">
        <f>2425728.1+1384398.8+602289.7</f>
        <v>4412416.600000001</v>
      </c>
      <c r="Q12" s="29">
        <f t="shared" si="6"/>
        <v>99.3953181386087</v>
      </c>
      <c r="R12" s="40">
        <f t="shared" si="7"/>
        <v>15518786</v>
      </c>
      <c r="S12" s="40">
        <f t="shared" si="7"/>
        <v>13967403.3</v>
      </c>
    </row>
    <row r="13" spans="1:19" ht="12.75">
      <c r="A13" s="36" t="s">
        <v>19</v>
      </c>
      <c r="B13" s="17" t="s">
        <v>20</v>
      </c>
      <c r="C13" s="22">
        <f>2403719+12300590</f>
        <v>14704309</v>
      </c>
      <c r="D13" s="23">
        <f>1539345+9764309.8</f>
        <v>11303654.8</v>
      </c>
      <c r="E13" s="29">
        <f t="shared" si="2"/>
        <v>76.87307713677671</v>
      </c>
      <c r="F13" s="22">
        <f>2986391+15799576</f>
        <v>18785967</v>
      </c>
      <c r="G13" s="23">
        <f>2157846+12719673</f>
        <v>14877519</v>
      </c>
      <c r="H13" s="29">
        <f t="shared" si="3"/>
        <v>79.19485326467357</v>
      </c>
      <c r="I13" s="22">
        <f>2911400+16696000</f>
        <v>19607400</v>
      </c>
      <c r="J13" s="23">
        <f>2788704+17569520</f>
        <v>20358224</v>
      </c>
      <c r="K13" s="29">
        <f t="shared" si="4"/>
        <v>103.82928894193009</v>
      </c>
      <c r="L13" s="22">
        <v>34572000</v>
      </c>
      <c r="M13" s="23">
        <v>36217497.5</v>
      </c>
      <c r="N13" s="29">
        <f t="shared" si="5"/>
        <v>104.75962484091173</v>
      </c>
      <c r="O13" s="22">
        <v>48203146</v>
      </c>
      <c r="P13" s="23">
        <v>40080355</v>
      </c>
      <c r="Q13" s="29">
        <f t="shared" si="6"/>
        <v>83.14883638507744</v>
      </c>
      <c r="R13" s="40">
        <f t="shared" si="7"/>
        <v>135872822</v>
      </c>
      <c r="S13" s="40">
        <f t="shared" si="7"/>
        <v>122837250.3</v>
      </c>
    </row>
    <row r="14" spans="1:19" ht="12.75">
      <c r="A14" s="36" t="s">
        <v>21</v>
      </c>
      <c r="B14" s="17" t="s">
        <v>22</v>
      </c>
      <c r="C14" s="22">
        <f>1758507+527552</f>
        <v>2286059</v>
      </c>
      <c r="D14" s="23">
        <f>1247799+373278.2</f>
        <v>1621077.2</v>
      </c>
      <c r="E14" s="29">
        <f t="shared" si="2"/>
        <v>70.91143316948512</v>
      </c>
      <c r="F14" s="22">
        <f>3500000+1050000</f>
        <v>4550000</v>
      </c>
      <c r="G14" s="23">
        <f>4259570+1255001</f>
        <v>5514571</v>
      </c>
      <c r="H14" s="29">
        <f t="shared" si="3"/>
        <v>121.19936263736264</v>
      </c>
      <c r="I14" s="22">
        <f>5831868+1749561</f>
        <v>7581429</v>
      </c>
      <c r="J14" s="23">
        <f>5894113+1024099</f>
        <v>6918212</v>
      </c>
      <c r="K14" s="29">
        <f t="shared" si="4"/>
        <v>91.25208453445913</v>
      </c>
      <c r="L14" s="22">
        <v>11666000</v>
      </c>
      <c r="M14" s="23">
        <v>18101393.6</v>
      </c>
      <c r="N14" s="29">
        <f t="shared" si="5"/>
        <v>155.16366878107323</v>
      </c>
      <c r="O14" s="22">
        <v>20250000</v>
      </c>
      <c r="P14" s="23">
        <v>19378572</v>
      </c>
      <c r="Q14" s="29">
        <f t="shared" si="6"/>
        <v>95.69665185185185</v>
      </c>
      <c r="R14" s="40">
        <f t="shared" si="7"/>
        <v>46333488</v>
      </c>
      <c r="S14" s="40">
        <f t="shared" si="7"/>
        <v>51533825.8</v>
      </c>
    </row>
    <row r="15" spans="1:19" ht="12.75">
      <c r="A15" s="36" t="s">
        <v>23</v>
      </c>
      <c r="B15" s="17" t="s">
        <v>24</v>
      </c>
      <c r="C15" s="22">
        <v>1</v>
      </c>
      <c r="D15" s="23"/>
      <c r="E15" s="29">
        <f t="shared" si="2"/>
        <v>0</v>
      </c>
      <c r="F15" s="22">
        <v>1</v>
      </c>
      <c r="G15" s="23">
        <v>140732</v>
      </c>
      <c r="H15" s="29">
        <f t="shared" si="3"/>
        <v>14073200</v>
      </c>
      <c r="I15" s="22">
        <v>1</v>
      </c>
      <c r="J15" s="23">
        <v>595184</v>
      </c>
      <c r="K15" s="29">
        <f t="shared" si="4"/>
        <v>59518400</v>
      </c>
      <c r="L15" s="22">
        <v>648000</v>
      </c>
      <c r="M15" s="23">
        <v>1028552</v>
      </c>
      <c r="N15" s="29">
        <f t="shared" si="5"/>
        <v>158.72716049382717</v>
      </c>
      <c r="O15" s="22">
        <v>1263600</v>
      </c>
      <c r="P15" s="23">
        <v>4667395.4</v>
      </c>
      <c r="Q15" s="29">
        <f t="shared" si="6"/>
        <v>369.37285533396647</v>
      </c>
      <c r="R15" s="40">
        <f t="shared" si="7"/>
        <v>1911603</v>
      </c>
      <c r="S15" s="40">
        <f t="shared" si="7"/>
        <v>6431863.4</v>
      </c>
    </row>
    <row r="16" spans="1:19" ht="12.75">
      <c r="A16" s="36" t="s">
        <v>25</v>
      </c>
      <c r="B16" s="17" t="s">
        <v>26</v>
      </c>
      <c r="C16" s="22">
        <v>21821841</v>
      </c>
      <c r="D16" s="23">
        <v>20908399.7</v>
      </c>
      <c r="E16" s="29">
        <f t="shared" si="2"/>
        <v>95.81409607007951</v>
      </c>
      <c r="F16" s="22">
        <v>27981618</v>
      </c>
      <c r="G16" s="23">
        <v>29565515</v>
      </c>
      <c r="H16" s="29">
        <f t="shared" si="3"/>
        <v>105.66049111241531</v>
      </c>
      <c r="I16" s="22">
        <v>40239540</v>
      </c>
      <c r="J16" s="23">
        <v>36814910</v>
      </c>
      <c r="K16" s="29">
        <f t="shared" si="4"/>
        <v>91.48939078329424</v>
      </c>
      <c r="L16" s="22">
        <v>50438000</v>
      </c>
      <c r="M16" s="23">
        <v>50489033.1</v>
      </c>
      <c r="N16" s="29">
        <f t="shared" si="5"/>
        <v>100.10117986438796</v>
      </c>
      <c r="O16" s="22">
        <v>68091300</v>
      </c>
      <c r="P16" s="23">
        <v>69212390</v>
      </c>
      <c r="Q16" s="29">
        <f t="shared" si="6"/>
        <v>101.64645116189585</v>
      </c>
      <c r="R16" s="40">
        <f t="shared" si="7"/>
        <v>208572299</v>
      </c>
      <c r="S16" s="40">
        <f t="shared" si="7"/>
        <v>206990247.8</v>
      </c>
    </row>
    <row r="17" spans="1:19" ht="12.75">
      <c r="A17" s="36" t="s">
        <v>27</v>
      </c>
      <c r="B17" s="17" t="s">
        <v>28</v>
      </c>
      <c r="C17" s="22">
        <v>348275</v>
      </c>
      <c r="D17" s="23">
        <v>321730.6</v>
      </c>
      <c r="E17" s="29">
        <f t="shared" si="2"/>
        <v>92.37832172851913</v>
      </c>
      <c r="F17" s="22">
        <v>451320</v>
      </c>
      <c r="G17" s="23">
        <v>456069</v>
      </c>
      <c r="H17" s="29">
        <f t="shared" si="3"/>
        <v>101.05224674288753</v>
      </c>
      <c r="I17" s="22">
        <v>571520</v>
      </c>
      <c r="J17" s="23">
        <v>603080</v>
      </c>
      <c r="K17" s="29">
        <f t="shared" si="4"/>
        <v>105.52211646136618</v>
      </c>
      <c r="L17" s="22">
        <v>732000</v>
      </c>
      <c r="M17" s="23">
        <v>822369.9</v>
      </c>
      <c r="N17" s="29">
        <f t="shared" si="5"/>
        <v>112.34561475409836</v>
      </c>
      <c r="O17" s="22">
        <v>1026900</v>
      </c>
      <c r="P17" s="23">
        <v>1697411</v>
      </c>
      <c r="Q17" s="29">
        <f t="shared" si="6"/>
        <v>165.29467328853832</v>
      </c>
      <c r="R17" s="40">
        <f t="shared" si="7"/>
        <v>3130015</v>
      </c>
      <c r="S17" s="40">
        <f t="shared" si="7"/>
        <v>3900660.5</v>
      </c>
    </row>
    <row r="18" spans="1:19" ht="12.75">
      <c r="A18" s="36" t="s">
        <v>29</v>
      </c>
      <c r="B18" s="17" t="s">
        <v>30</v>
      </c>
      <c r="C18" s="22"/>
      <c r="D18" s="23"/>
      <c r="E18" s="29">
        <f t="shared" si="2"/>
        <v>0</v>
      </c>
      <c r="F18" s="22"/>
      <c r="G18" s="23"/>
      <c r="H18" s="29">
        <f t="shared" si="3"/>
        <v>0</v>
      </c>
      <c r="I18" s="22"/>
      <c r="J18" s="23"/>
      <c r="K18" s="29">
        <f t="shared" si="4"/>
        <v>0</v>
      </c>
      <c r="L18" s="22"/>
      <c r="M18" s="23">
        <v>795871.9</v>
      </c>
      <c r="N18" s="29">
        <f t="shared" si="5"/>
        <v>0</v>
      </c>
      <c r="O18" s="22"/>
      <c r="P18" s="23"/>
      <c r="Q18" s="29">
        <f t="shared" si="6"/>
        <v>0</v>
      </c>
      <c r="R18" s="40">
        <f t="shared" si="7"/>
        <v>0</v>
      </c>
      <c r="S18" s="40">
        <f t="shared" si="7"/>
        <v>795871.9</v>
      </c>
    </row>
    <row r="19" spans="1:19" ht="12.75">
      <c r="A19" s="36" t="s">
        <v>31</v>
      </c>
      <c r="B19" s="17" t="s">
        <v>32</v>
      </c>
      <c r="C19" s="22"/>
      <c r="D19" s="23"/>
      <c r="E19" s="29">
        <f t="shared" si="2"/>
        <v>0</v>
      </c>
      <c r="F19" s="22"/>
      <c r="G19" s="23"/>
      <c r="H19" s="29">
        <f t="shared" si="3"/>
        <v>0</v>
      </c>
      <c r="I19" s="22"/>
      <c r="J19" s="23"/>
      <c r="K19" s="29">
        <f t="shared" si="4"/>
        <v>0</v>
      </c>
      <c r="L19" s="22"/>
      <c r="M19" s="23">
        <v>31440761.7</v>
      </c>
      <c r="N19" s="29">
        <f t="shared" si="5"/>
        <v>0</v>
      </c>
      <c r="O19" s="22"/>
      <c r="P19" s="23"/>
      <c r="Q19" s="29">
        <f t="shared" si="6"/>
        <v>0</v>
      </c>
      <c r="R19" s="40">
        <f t="shared" si="7"/>
        <v>0</v>
      </c>
      <c r="S19" s="40">
        <f t="shared" si="7"/>
        <v>31440761.7</v>
      </c>
    </row>
    <row r="20" spans="1:19" ht="12.75">
      <c r="A20" s="34" t="s">
        <v>33</v>
      </c>
      <c r="B20" s="35" t="s">
        <v>34</v>
      </c>
      <c r="C20" s="20">
        <f aca="true" t="shared" si="8" ref="C20:P20">SUM(C21+C33+C34+C35+C51+C55+C63+C65+C66+C67)</f>
        <v>28645876</v>
      </c>
      <c r="D20" s="21">
        <f t="shared" si="8"/>
        <v>25650586.8</v>
      </c>
      <c r="E20" s="28">
        <f t="shared" si="2"/>
        <v>89.54373327595219</v>
      </c>
      <c r="F20" s="20">
        <f t="shared" si="8"/>
        <v>46918787</v>
      </c>
      <c r="G20" s="21">
        <f t="shared" si="8"/>
        <v>37760558</v>
      </c>
      <c r="H20" s="28">
        <f t="shared" si="3"/>
        <v>80.48067824089314</v>
      </c>
      <c r="I20" s="20">
        <f t="shared" si="8"/>
        <v>58009854</v>
      </c>
      <c r="J20" s="21">
        <f t="shared" si="8"/>
        <v>53667992</v>
      </c>
      <c r="K20" s="28">
        <f t="shared" si="4"/>
        <v>92.51530265875174</v>
      </c>
      <c r="L20" s="20">
        <f t="shared" si="8"/>
        <v>11993000</v>
      </c>
      <c r="M20" s="21">
        <f t="shared" si="8"/>
        <v>15428831.22</v>
      </c>
      <c r="N20" s="28">
        <f t="shared" si="5"/>
        <v>128.64863853914784</v>
      </c>
      <c r="O20" s="20">
        <f t="shared" si="8"/>
        <v>37927211.2</v>
      </c>
      <c r="P20" s="21">
        <f t="shared" si="8"/>
        <v>43478946</v>
      </c>
      <c r="Q20" s="28">
        <f t="shared" si="6"/>
        <v>114.63786717859182</v>
      </c>
      <c r="R20" s="40">
        <f t="shared" si="7"/>
        <v>183494728.2</v>
      </c>
      <c r="S20" s="40">
        <f t="shared" si="7"/>
        <v>175986914.01999998</v>
      </c>
    </row>
    <row r="21" spans="1:19" ht="12.75" hidden="1">
      <c r="A21" s="36" t="s">
        <v>35</v>
      </c>
      <c r="B21" s="17" t="s">
        <v>36</v>
      </c>
      <c r="C21" s="22">
        <f aca="true" t="shared" si="9" ref="C21:P21">SUM(C22:C32)</f>
        <v>0</v>
      </c>
      <c r="D21" s="23">
        <f t="shared" si="9"/>
        <v>0</v>
      </c>
      <c r="E21" s="29">
        <f t="shared" si="2"/>
        <v>0</v>
      </c>
      <c r="F21" s="22">
        <f t="shared" si="9"/>
        <v>0</v>
      </c>
      <c r="G21" s="23">
        <f t="shared" si="9"/>
        <v>0</v>
      </c>
      <c r="H21" s="29">
        <f t="shared" si="3"/>
        <v>0</v>
      </c>
      <c r="I21" s="22">
        <f t="shared" si="9"/>
        <v>0</v>
      </c>
      <c r="J21" s="23">
        <f t="shared" si="9"/>
        <v>0</v>
      </c>
      <c r="K21" s="29">
        <f t="shared" si="4"/>
        <v>0</v>
      </c>
      <c r="L21" s="22">
        <f t="shared" si="9"/>
        <v>0</v>
      </c>
      <c r="M21" s="23">
        <f t="shared" si="9"/>
        <v>0</v>
      </c>
      <c r="N21" s="29">
        <f t="shared" si="5"/>
        <v>0</v>
      </c>
      <c r="O21" s="22">
        <f t="shared" si="9"/>
        <v>0</v>
      </c>
      <c r="P21" s="23">
        <f t="shared" si="9"/>
        <v>0</v>
      </c>
      <c r="Q21" s="29">
        <f t="shared" si="6"/>
        <v>0</v>
      </c>
      <c r="R21" s="40">
        <f t="shared" si="7"/>
        <v>0</v>
      </c>
      <c r="S21" s="40">
        <f t="shared" si="7"/>
        <v>0</v>
      </c>
    </row>
    <row r="22" spans="1:19" ht="12.75" hidden="1">
      <c r="A22" s="36" t="s">
        <v>37</v>
      </c>
      <c r="B22" s="17" t="s">
        <v>38</v>
      </c>
      <c r="C22" s="22"/>
      <c r="D22" s="23"/>
      <c r="E22" s="29">
        <f t="shared" si="2"/>
        <v>0</v>
      </c>
      <c r="F22" s="22"/>
      <c r="G22" s="23"/>
      <c r="H22" s="29">
        <f t="shared" si="3"/>
        <v>0</v>
      </c>
      <c r="I22" s="22"/>
      <c r="J22" s="23"/>
      <c r="K22" s="29">
        <f t="shared" si="4"/>
        <v>0</v>
      </c>
      <c r="L22" s="22"/>
      <c r="M22" s="23"/>
      <c r="N22" s="29">
        <f t="shared" si="5"/>
        <v>0</v>
      </c>
      <c r="O22" s="22"/>
      <c r="P22" s="23"/>
      <c r="Q22" s="29">
        <f t="shared" si="6"/>
        <v>0</v>
      </c>
      <c r="R22" s="40">
        <f t="shared" si="7"/>
        <v>0</v>
      </c>
      <c r="S22" s="40">
        <f t="shared" si="7"/>
        <v>0</v>
      </c>
    </row>
    <row r="23" spans="1:19" ht="12.75" hidden="1">
      <c r="A23" s="36" t="s">
        <v>39</v>
      </c>
      <c r="B23" s="17" t="s">
        <v>40</v>
      </c>
      <c r="C23" s="22"/>
      <c r="D23" s="23"/>
      <c r="E23" s="29">
        <f t="shared" si="2"/>
        <v>0</v>
      </c>
      <c r="F23" s="22"/>
      <c r="G23" s="23"/>
      <c r="H23" s="29">
        <f t="shared" si="3"/>
        <v>0</v>
      </c>
      <c r="I23" s="22"/>
      <c r="J23" s="23"/>
      <c r="K23" s="29">
        <f t="shared" si="4"/>
        <v>0</v>
      </c>
      <c r="L23" s="22"/>
      <c r="M23" s="23"/>
      <c r="N23" s="29">
        <f t="shared" si="5"/>
        <v>0</v>
      </c>
      <c r="O23" s="22"/>
      <c r="P23" s="23"/>
      <c r="Q23" s="29">
        <f t="shared" si="6"/>
        <v>0</v>
      </c>
      <c r="R23" s="40">
        <f t="shared" si="7"/>
        <v>0</v>
      </c>
      <c r="S23" s="40">
        <f t="shared" si="7"/>
        <v>0</v>
      </c>
    </row>
    <row r="24" spans="1:19" ht="12.75" hidden="1">
      <c r="A24" s="36" t="s">
        <v>41</v>
      </c>
      <c r="B24" s="17" t="s">
        <v>42</v>
      </c>
      <c r="C24" s="22"/>
      <c r="D24" s="23"/>
      <c r="E24" s="29">
        <f t="shared" si="2"/>
        <v>0</v>
      </c>
      <c r="F24" s="22"/>
      <c r="G24" s="23"/>
      <c r="H24" s="29">
        <f t="shared" si="3"/>
        <v>0</v>
      </c>
      <c r="I24" s="22"/>
      <c r="J24" s="23"/>
      <c r="K24" s="29">
        <f t="shared" si="4"/>
        <v>0</v>
      </c>
      <c r="L24" s="22"/>
      <c r="M24" s="23"/>
      <c r="N24" s="29">
        <f t="shared" si="5"/>
        <v>0</v>
      </c>
      <c r="O24" s="22"/>
      <c r="P24" s="23"/>
      <c r="Q24" s="29">
        <f t="shared" si="6"/>
        <v>0</v>
      </c>
      <c r="R24" s="40">
        <f t="shared" si="7"/>
        <v>0</v>
      </c>
      <c r="S24" s="40">
        <f t="shared" si="7"/>
        <v>0</v>
      </c>
    </row>
    <row r="25" spans="1:19" ht="12.75" hidden="1">
      <c r="A25" s="36" t="s">
        <v>43</v>
      </c>
      <c r="B25" s="17" t="s">
        <v>44</v>
      </c>
      <c r="C25" s="22"/>
      <c r="D25" s="23"/>
      <c r="E25" s="29">
        <f aca="true" t="shared" si="10" ref="E25:E40">IF(OR(D25=0,C25=0),0,D25/C25)*100</f>
        <v>0</v>
      </c>
      <c r="F25" s="22"/>
      <c r="G25" s="23"/>
      <c r="H25" s="29">
        <f aca="true" t="shared" si="11" ref="H25:H40">IF(OR(G25=0,F25=0),0,G25/F25)*100</f>
        <v>0</v>
      </c>
      <c r="I25" s="22"/>
      <c r="J25" s="23"/>
      <c r="K25" s="29">
        <f aca="true" t="shared" si="12" ref="K25:K40">IF(OR(J25=0,I25=0),0,J25/I25)*100</f>
        <v>0</v>
      </c>
      <c r="L25" s="22"/>
      <c r="M25" s="23"/>
      <c r="N25" s="29">
        <f aca="true" t="shared" si="13" ref="N25:N40">IF(OR(M25=0,L25=0),0,M25/L25)*100</f>
        <v>0</v>
      </c>
      <c r="O25" s="22"/>
      <c r="P25" s="23"/>
      <c r="Q25" s="29">
        <f aca="true" t="shared" si="14" ref="Q25:Q40">IF(OR(P25=0,O25=0),0,P25/O25)*100</f>
        <v>0</v>
      </c>
      <c r="R25" s="40">
        <f aca="true" t="shared" si="15" ref="R25:S40">SUM(C25+F25+I25+L25+O25)</f>
        <v>0</v>
      </c>
      <c r="S25" s="40">
        <f t="shared" si="15"/>
        <v>0</v>
      </c>
    </row>
    <row r="26" spans="1:19" ht="12.75" hidden="1">
      <c r="A26" s="36" t="s">
        <v>45</v>
      </c>
      <c r="B26" s="17" t="s">
        <v>46</v>
      </c>
      <c r="C26" s="22"/>
      <c r="D26" s="23"/>
      <c r="E26" s="29">
        <f t="shared" si="10"/>
        <v>0</v>
      </c>
      <c r="F26" s="22"/>
      <c r="G26" s="23"/>
      <c r="H26" s="29">
        <f t="shared" si="11"/>
        <v>0</v>
      </c>
      <c r="I26" s="22"/>
      <c r="J26" s="23"/>
      <c r="K26" s="29">
        <f t="shared" si="12"/>
        <v>0</v>
      </c>
      <c r="L26" s="22"/>
      <c r="M26" s="23"/>
      <c r="N26" s="29">
        <f t="shared" si="13"/>
        <v>0</v>
      </c>
      <c r="O26" s="22"/>
      <c r="P26" s="23"/>
      <c r="Q26" s="29">
        <f t="shared" si="14"/>
        <v>0</v>
      </c>
      <c r="R26" s="40">
        <f t="shared" si="15"/>
        <v>0</v>
      </c>
      <c r="S26" s="40">
        <f t="shared" si="15"/>
        <v>0</v>
      </c>
    </row>
    <row r="27" spans="1:19" ht="12.75" hidden="1">
      <c r="A27" s="36" t="s">
        <v>47</v>
      </c>
      <c r="B27" s="17" t="s">
        <v>48</v>
      </c>
      <c r="C27" s="22"/>
      <c r="D27" s="23"/>
      <c r="E27" s="29">
        <f t="shared" si="10"/>
        <v>0</v>
      </c>
      <c r="F27" s="22"/>
      <c r="G27" s="23"/>
      <c r="H27" s="29">
        <f t="shared" si="11"/>
        <v>0</v>
      </c>
      <c r="I27" s="22"/>
      <c r="J27" s="23"/>
      <c r="K27" s="29">
        <f t="shared" si="12"/>
        <v>0</v>
      </c>
      <c r="L27" s="22"/>
      <c r="M27" s="23"/>
      <c r="N27" s="29">
        <f t="shared" si="13"/>
        <v>0</v>
      </c>
      <c r="O27" s="22"/>
      <c r="P27" s="23"/>
      <c r="Q27" s="29">
        <f t="shared" si="14"/>
        <v>0</v>
      </c>
      <c r="R27" s="40">
        <f t="shared" si="15"/>
        <v>0</v>
      </c>
      <c r="S27" s="40">
        <f t="shared" si="15"/>
        <v>0</v>
      </c>
    </row>
    <row r="28" spans="1:19" ht="12.75" hidden="1">
      <c r="A28" s="36" t="s">
        <v>49</v>
      </c>
      <c r="B28" s="17" t="s">
        <v>50</v>
      </c>
      <c r="C28" s="22"/>
      <c r="D28" s="23"/>
      <c r="E28" s="29">
        <f t="shared" si="10"/>
        <v>0</v>
      </c>
      <c r="F28" s="22"/>
      <c r="G28" s="23"/>
      <c r="H28" s="29">
        <f t="shared" si="11"/>
        <v>0</v>
      </c>
      <c r="I28" s="22"/>
      <c r="J28" s="23"/>
      <c r="K28" s="29">
        <f t="shared" si="12"/>
        <v>0</v>
      </c>
      <c r="L28" s="22"/>
      <c r="M28" s="23"/>
      <c r="N28" s="29">
        <f t="shared" si="13"/>
        <v>0</v>
      </c>
      <c r="O28" s="22"/>
      <c r="P28" s="23"/>
      <c r="Q28" s="29">
        <f t="shared" si="14"/>
        <v>0</v>
      </c>
      <c r="R28" s="40">
        <f t="shared" si="15"/>
        <v>0</v>
      </c>
      <c r="S28" s="40">
        <f t="shared" si="15"/>
        <v>0</v>
      </c>
    </row>
    <row r="29" spans="1:19" ht="12.75" hidden="1">
      <c r="A29" s="36" t="s">
        <v>51</v>
      </c>
      <c r="B29" s="17" t="s">
        <v>52</v>
      </c>
      <c r="C29" s="22"/>
      <c r="D29" s="23"/>
      <c r="E29" s="29">
        <f t="shared" si="10"/>
        <v>0</v>
      </c>
      <c r="F29" s="22"/>
      <c r="G29" s="23"/>
      <c r="H29" s="29">
        <f t="shared" si="11"/>
        <v>0</v>
      </c>
      <c r="I29" s="22"/>
      <c r="J29" s="23"/>
      <c r="K29" s="29">
        <f t="shared" si="12"/>
        <v>0</v>
      </c>
      <c r="L29" s="22"/>
      <c r="M29" s="23"/>
      <c r="N29" s="29">
        <f t="shared" si="13"/>
        <v>0</v>
      </c>
      <c r="O29" s="22"/>
      <c r="P29" s="23"/>
      <c r="Q29" s="29">
        <f t="shared" si="14"/>
        <v>0</v>
      </c>
      <c r="R29" s="40">
        <f t="shared" si="15"/>
        <v>0</v>
      </c>
      <c r="S29" s="40">
        <f t="shared" si="15"/>
        <v>0</v>
      </c>
    </row>
    <row r="30" spans="1:19" ht="12.75" hidden="1">
      <c r="A30" s="36" t="s">
        <v>53</v>
      </c>
      <c r="B30" s="17" t="s">
        <v>54</v>
      </c>
      <c r="C30" s="22"/>
      <c r="D30" s="23"/>
      <c r="E30" s="29">
        <f t="shared" si="10"/>
        <v>0</v>
      </c>
      <c r="F30" s="22"/>
      <c r="G30" s="23"/>
      <c r="H30" s="29">
        <f t="shared" si="11"/>
        <v>0</v>
      </c>
      <c r="I30" s="22"/>
      <c r="J30" s="23"/>
      <c r="K30" s="29">
        <f t="shared" si="12"/>
        <v>0</v>
      </c>
      <c r="L30" s="22"/>
      <c r="M30" s="23"/>
      <c r="N30" s="29">
        <f t="shared" si="13"/>
        <v>0</v>
      </c>
      <c r="O30" s="22"/>
      <c r="P30" s="23"/>
      <c r="Q30" s="29">
        <f t="shared" si="14"/>
        <v>0</v>
      </c>
      <c r="R30" s="40">
        <f t="shared" si="15"/>
        <v>0</v>
      </c>
      <c r="S30" s="40">
        <f t="shared" si="15"/>
        <v>0</v>
      </c>
    </row>
    <row r="31" spans="1:19" ht="12.75" hidden="1">
      <c r="A31" s="36" t="s">
        <v>55</v>
      </c>
      <c r="B31" s="38" t="s">
        <v>56</v>
      </c>
      <c r="C31" s="22"/>
      <c r="D31" s="23"/>
      <c r="E31" s="29">
        <f t="shared" si="10"/>
        <v>0</v>
      </c>
      <c r="F31" s="22"/>
      <c r="G31" s="23"/>
      <c r="H31" s="29">
        <f t="shared" si="11"/>
        <v>0</v>
      </c>
      <c r="I31" s="22"/>
      <c r="J31" s="23"/>
      <c r="K31" s="29">
        <f t="shared" si="12"/>
        <v>0</v>
      </c>
      <c r="L31" s="22"/>
      <c r="M31" s="23"/>
      <c r="N31" s="29">
        <f t="shared" si="13"/>
        <v>0</v>
      </c>
      <c r="O31" s="22"/>
      <c r="P31" s="23"/>
      <c r="Q31" s="29">
        <f t="shared" si="14"/>
        <v>0</v>
      </c>
      <c r="R31" s="40">
        <f t="shared" si="15"/>
        <v>0</v>
      </c>
      <c r="S31" s="40">
        <f t="shared" si="15"/>
        <v>0</v>
      </c>
    </row>
    <row r="32" spans="1:19" ht="12.75" hidden="1">
      <c r="A32" s="36" t="s">
        <v>57</v>
      </c>
      <c r="B32" s="38" t="s">
        <v>58</v>
      </c>
      <c r="C32" s="22"/>
      <c r="D32" s="23"/>
      <c r="E32" s="29">
        <f t="shared" si="10"/>
        <v>0</v>
      </c>
      <c r="F32" s="22"/>
      <c r="G32" s="23"/>
      <c r="H32" s="29">
        <f t="shared" si="11"/>
        <v>0</v>
      </c>
      <c r="I32" s="22"/>
      <c r="J32" s="23"/>
      <c r="K32" s="29">
        <f t="shared" si="12"/>
        <v>0</v>
      </c>
      <c r="L32" s="22"/>
      <c r="M32" s="23"/>
      <c r="N32" s="29">
        <f t="shared" si="13"/>
        <v>0</v>
      </c>
      <c r="O32" s="22"/>
      <c r="P32" s="23"/>
      <c r="Q32" s="29">
        <f t="shared" si="14"/>
        <v>0</v>
      </c>
      <c r="R32" s="40">
        <f t="shared" si="15"/>
        <v>0</v>
      </c>
      <c r="S32" s="40">
        <f t="shared" si="15"/>
        <v>0</v>
      </c>
    </row>
    <row r="33" spans="1:19" ht="12.75" hidden="1">
      <c r="A33" s="36" t="s">
        <v>59</v>
      </c>
      <c r="B33" s="17" t="s">
        <v>60</v>
      </c>
      <c r="C33" s="22"/>
      <c r="D33" s="23"/>
      <c r="E33" s="29">
        <f t="shared" si="10"/>
        <v>0</v>
      </c>
      <c r="F33" s="22"/>
      <c r="G33" s="23"/>
      <c r="H33" s="29">
        <f t="shared" si="11"/>
        <v>0</v>
      </c>
      <c r="I33" s="22"/>
      <c r="J33" s="23"/>
      <c r="K33" s="29">
        <f t="shared" si="12"/>
        <v>0</v>
      </c>
      <c r="L33" s="22"/>
      <c r="M33" s="23"/>
      <c r="N33" s="29">
        <f t="shared" si="13"/>
        <v>0</v>
      </c>
      <c r="O33" s="22"/>
      <c r="P33" s="23"/>
      <c r="Q33" s="29">
        <f t="shared" si="14"/>
        <v>0</v>
      </c>
      <c r="R33" s="40">
        <f t="shared" si="15"/>
        <v>0</v>
      </c>
      <c r="S33" s="40">
        <f t="shared" si="15"/>
        <v>0</v>
      </c>
    </row>
    <row r="34" spans="1:19" ht="12.75" hidden="1">
      <c r="A34" s="36" t="s">
        <v>61</v>
      </c>
      <c r="B34" s="17" t="s">
        <v>62</v>
      </c>
      <c r="C34" s="22"/>
      <c r="D34" s="23"/>
      <c r="E34" s="29">
        <f t="shared" si="10"/>
        <v>0</v>
      </c>
      <c r="F34" s="22"/>
      <c r="G34" s="23"/>
      <c r="H34" s="29">
        <f t="shared" si="11"/>
        <v>0</v>
      </c>
      <c r="I34" s="22"/>
      <c r="J34" s="23"/>
      <c r="K34" s="29">
        <f t="shared" si="12"/>
        <v>0</v>
      </c>
      <c r="L34" s="22"/>
      <c r="M34" s="23"/>
      <c r="N34" s="29">
        <f t="shared" si="13"/>
        <v>0</v>
      </c>
      <c r="O34" s="22"/>
      <c r="P34" s="23"/>
      <c r="Q34" s="29">
        <f t="shared" si="14"/>
        <v>0</v>
      </c>
      <c r="R34" s="40">
        <f t="shared" si="15"/>
        <v>0</v>
      </c>
      <c r="S34" s="40">
        <f t="shared" si="15"/>
        <v>0</v>
      </c>
    </row>
    <row r="35" spans="1:19" ht="12.75">
      <c r="A35" s="36" t="s">
        <v>63</v>
      </c>
      <c r="B35" s="17" t="s">
        <v>64</v>
      </c>
      <c r="C35" s="22">
        <f aca="true" t="shared" si="16" ref="C35:P35">SUM(C36:C50)</f>
        <v>1440471</v>
      </c>
      <c r="D35" s="23">
        <f t="shared" si="16"/>
        <v>0</v>
      </c>
      <c r="E35" s="29">
        <f t="shared" si="10"/>
        <v>0</v>
      </c>
      <c r="F35" s="22">
        <f t="shared" si="16"/>
        <v>1915886</v>
      </c>
      <c r="G35" s="23">
        <f t="shared" si="16"/>
        <v>0</v>
      </c>
      <c r="H35" s="29">
        <f t="shared" si="11"/>
        <v>0</v>
      </c>
      <c r="I35" s="22">
        <f t="shared" si="16"/>
        <v>4148436</v>
      </c>
      <c r="J35" s="23">
        <f t="shared" si="16"/>
        <v>0</v>
      </c>
      <c r="K35" s="29">
        <f t="shared" si="12"/>
        <v>0</v>
      </c>
      <c r="L35" s="22">
        <f t="shared" si="16"/>
        <v>0</v>
      </c>
      <c r="M35" s="23">
        <f t="shared" si="16"/>
        <v>0</v>
      </c>
      <c r="N35" s="29">
        <f t="shared" si="13"/>
        <v>0</v>
      </c>
      <c r="O35" s="22">
        <f t="shared" si="16"/>
        <v>0</v>
      </c>
      <c r="P35" s="23">
        <f t="shared" si="16"/>
        <v>0</v>
      </c>
      <c r="Q35" s="29">
        <f t="shared" si="14"/>
        <v>0</v>
      </c>
      <c r="R35" s="40">
        <f t="shared" si="15"/>
        <v>7504793</v>
      </c>
      <c r="S35" s="40">
        <f t="shared" si="15"/>
        <v>0</v>
      </c>
    </row>
    <row r="36" spans="1:19" ht="12.75" hidden="1">
      <c r="A36" s="36" t="s">
        <v>65</v>
      </c>
      <c r="B36" s="17" t="s">
        <v>66</v>
      </c>
      <c r="C36" s="22"/>
      <c r="D36" s="23"/>
      <c r="E36" s="29">
        <f t="shared" si="10"/>
        <v>0</v>
      </c>
      <c r="F36" s="22"/>
      <c r="G36" s="23"/>
      <c r="H36" s="29">
        <f t="shared" si="11"/>
        <v>0</v>
      </c>
      <c r="I36" s="22"/>
      <c r="J36" s="23"/>
      <c r="K36" s="29">
        <f t="shared" si="12"/>
        <v>0</v>
      </c>
      <c r="L36" s="22"/>
      <c r="M36" s="23"/>
      <c r="N36" s="29">
        <f t="shared" si="13"/>
        <v>0</v>
      </c>
      <c r="O36" s="22"/>
      <c r="P36" s="23"/>
      <c r="Q36" s="29">
        <f t="shared" si="14"/>
        <v>0</v>
      </c>
      <c r="R36" s="40">
        <f t="shared" si="15"/>
        <v>0</v>
      </c>
      <c r="S36" s="40">
        <f t="shared" si="15"/>
        <v>0</v>
      </c>
    </row>
    <row r="37" spans="1:19" ht="12.75" hidden="1">
      <c r="A37" s="36" t="s">
        <v>67</v>
      </c>
      <c r="B37" s="17" t="s">
        <v>68</v>
      </c>
      <c r="C37" s="22"/>
      <c r="D37" s="23"/>
      <c r="E37" s="29">
        <f t="shared" si="10"/>
        <v>0</v>
      </c>
      <c r="F37" s="22"/>
      <c r="G37" s="23"/>
      <c r="H37" s="29">
        <f t="shared" si="11"/>
        <v>0</v>
      </c>
      <c r="I37" s="22"/>
      <c r="J37" s="23"/>
      <c r="K37" s="29">
        <f t="shared" si="12"/>
        <v>0</v>
      </c>
      <c r="L37" s="22"/>
      <c r="M37" s="23"/>
      <c r="N37" s="29">
        <f t="shared" si="13"/>
        <v>0</v>
      </c>
      <c r="O37" s="22"/>
      <c r="P37" s="23"/>
      <c r="Q37" s="29">
        <f t="shared" si="14"/>
        <v>0</v>
      </c>
      <c r="R37" s="40">
        <f t="shared" si="15"/>
        <v>0</v>
      </c>
      <c r="S37" s="40">
        <f t="shared" si="15"/>
        <v>0</v>
      </c>
    </row>
    <row r="38" spans="1:19" ht="12.75" hidden="1">
      <c r="A38" s="36" t="s">
        <v>69</v>
      </c>
      <c r="B38" s="17" t="s">
        <v>70</v>
      </c>
      <c r="C38" s="22"/>
      <c r="D38" s="23"/>
      <c r="E38" s="29">
        <f t="shared" si="10"/>
        <v>0</v>
      </c>
      <c r="F38" s="22"/>
      <c r="G38" s="23"/>
      <c r="H38" s="29">
        <f t="shared" si="11"/>
        <v>0</v>
      </c>
      <c r="I38" s="22"/>
      <c r="J38" s="23"/>
      <c r="K38" s="29">
        <f t="shared" si="12"/>
        <v>0</v>
      </c>
      <c r="L38" s="22"/>
      <c r="M38" s="23"/>
      <c r="N38" s="29">
        <f t="shared" si="13"/>
        <v>0</v>
      </c>
      <c r="O38" s="22"/>
      <c r="P38" s="23"/>
      <c r="Q38" s="29">
        <f t="shared" si="14"/>
        <v>0</v>
      </c>
      <c r="R38" s="40">
        <f t="shared" si="15"/>
        <v>0</v>
      </c>
      <c r="S38" s="40">
        <f t="shared" si="15"/>
        <v>0</v>
      </c>
    </row>
    <row r="39" spans="1:19" ht="12.75" hidden="1">
      <c r="A39" s="36" t="s">
        <v>71</v>
      </c>
      <c r="B39" s="17" t="s">
        <v>72</v>
      </c>
      <c r="C39" s="22"/>
      <c r="D39" s="23"/>
      <c r="E39" s="29">
        <f t="shared" si="10"/>
        <v>0</v>
      </c>
      <c r="F39" s="22"/>
      <c r="G39" s="23"/>
      <c r="H39" s="29">
        <f t="shared" si="11"/>
        <v>0</v>
      </c>
      <c r="I39" s="22"/>
      <c r="J39" s="23"/>
      <c r="K39" s="29">
        <f t="shared" si="12"/>
        <v>0</v>
      </c>
      <c r="L39" s="22"/>
      <c r="M39" s="23"/>
      <c r="N39" s="29">
        <f t="shared" si="13"/>
        <v>0</v>
      </c>
      <c r="O39" s="22"/>
      <c r="P39" s="23"/>
      <c r="Q39" s="29">
        <f t="shared" si="14"/>
        <v>0</v>
      </c>
      <c r="R39" s="40">
        <f t="shared" si="15"/>
        <v>0</v>
      </c>
      <c r="S39" s="40">
        <f t="shared" si="15"/>
        <v>0</v>
      </c>
    </row>
    <row r="40" spans="1:19" ht="12.75" hidden="1">
      <c r="A40" s="36" t="s">
        <v>73</v>
      </c>
      <c r="B40" s="17" t="s">
        <v>74</v>
      </c>
      <c r="C40" s="22"/>
      <c r="D40" s="23"/>
      <c r="E40" s="29">
        <f t="shared" si="10"/>
        <v>0</v>
      </c>
      <c r="F40" s="22"/>
      <c r="G40" s="23"/>
      <c r="H40" s="29">
        <f t="shared" si="11"/>
        <v>0</v>
      </c>
      <c r="I40" s="22"/>
      <c r="J40" s="23"/>
      <c r="K40" s="29">
        <f t="shared" si="12"/>
        <v>0</v>
      </c>
      <c r="L40" s="22"/>
      <c r="M40" s="23"/>
      <c r="N40" s="29">
        <f t="shared" si="13"/>
        <v>0</v>
      </c>
      <c r="O40" s="22"/>
      <c r="P40" s="23"/>
      <c r="Q40" s="29">
        <f t="shared" si="14"/>
        <v>0</v>
      </c>
      <c r="R40" s="40">
        <f t="shared" si="15"/>
        <v>0</v>
      </c>
      <c r="S40" s="40">
        <f t="shared" si="15"/>
        <v>0</v>
      </c>
    </row>
    <row r="41" spans="1:19" ht="12.75" hidden="1">
      <c r="A41" s="36" t="s">
        <v>75</v>
      </c>
      <c r="B41" s="17" t="s">
        <v>76</v>
      </c>
      <c r="C41" s="22"/>
      <c r="D41" s="23"/>
      <c r="E41" s="29">
        <f aca="true" t="shared" si="17" ref="E41:E56">IF(OR(D41=0,C41=0),0,D41/C41)*100</f>
        <v>0</v>
      </c>
      <c r="F41" s="22"/>
      <c r="G41" s="23"/>
      <c r="H41" s="29">
        <f aca="true" t="shared" si="18" ref="H41:H56">IF(OR(G41=0,F41=0),0,G41/F41)*100</f>
        <v>0</v>
      </c>
      <c r="I41" s="22"/>
      <c r="J41" s="23"/>
      <c r="K41" s="29">
        <f aca="true" t="shared" si="19" ref="K41:K56">IF(OR(J41=0,I41=0),0,J41/I41)*100</f>
        <v>0</v>
      </c>
      <c r="L41" s="22"/>
      <c r="M41" s="23"/>
      <c r="N41" s="29">
        <f aca="true" t="shared" si="20" ref="N41:N56">IF(OR(M41=0,L41=0),0,M41/L41)*100</f>
        <v>0</v>
      </c>
      <c r="O41" s="22"/>
      <c r="P41" s="23"/>
      <c r="Q41" s="29">
        <f aca="true" t="shared" si="21" ref="Q41:Q56">IF(OR(P41=0,O41=0),0,P41/O41)*100</f>
        <v>0</v>
      </c>
      <c r="R41" s="40">
        <f aca="true" t="shared" si="22" ref="R41:S56">SUM(C41+F41+I41+L41+O41)</f>
        <v>0</v>
      </c>
      <c r="S41" s="40">
        <f t="shared" si="22"/>
        <v>0</v>
      </c>
    </row>
    <row r="42" spans="1:19" ht="12.75" hidden="1">
      <c r="A42" s="36" t="s">
        <v>77</v>
      </c>
      <c r="B42" s="17" t="s">
        <v>78</v>
      </c>
      <c r="C42" s="22"/>
      <c r="D42" s="23"/>
      <c r="E42" s="29">
        <f t="shared" si="17"/>
        <v>0</v>
      </c>
      <c r="F42" s="22"/>
      <c r="G42" s="23"/>
      <c r="H42" s="29">
        <f t="shared" si="18"/>
        <v>0</v>
      </c>
      <c r="I42" s="22"/>
      <c r="J42" s="23"/>
      <c r="K42" s="29">
        <f t="shared" si="19"/>
        <v>0</v>
      </c>
      <c r="L42" s="22"/>
      <c r="M42" s="23"/>
      <c r="N42" s="29">
        <f t="shared" si="20"/>
        <v>0</v>
      </c>
      <c r="O42" s="22"/>
      <c r="P42" s="23"/>
      <c r="Q42" s="29">
        <f t="shared" si="21"/>
        <v>0</v>
      </c>
      <c r="R42" s="40">
        <f t="shared" si="22"/>
        <v>0</v>
      </c>
      <c r="S42" s="40">
        <f t="shared" si="22"/>
        <v>0</v>
      </c>
    </row>
    <row r="43" spans="1:19" ht="12.75" hidden="1">
      <c r="A43" s="36" t="s">
        <v>79</v>
      </c>
      <c r="B43" s="17" t="s">
        <v>80</v>
      </c>
      <c r="C43" s="22"/>
      <c r="D43" s="23"/>
      <c r="E43" s="29">
        <f t="shared" si="17"/>
        <v>0</v>
      </c>
      <c r="F43" s="22"/>
      <c r="G43" s="23"/>
      <c r="H43" s="29">
        <f t="shared" si="18"/>
        <v>0</v>
      </c>
      <c r="I43" s="22"/>
      <c r="J43" s="23"/>
      <c r="K43" s="29">
        <f t="shared" si="19"/>
        <v>0</v>
      </c>
      <c r="L43" s="22"/>
      <c r="M43" s="23"/>
      <c r="N43" s="29">
        <f t="shared" si="20"/>
        <v>0</v>
      </c>
      <c r="O43" s="22"/>
      <c r="P43" s="23"/>
      <c r="Q43" s="29">
        <f t="shared" si="21"/>
        <v>0</v>
      </c>
      <c r="R43" s="40">
        <f t="shared" si="22"/>
        <v>0</v>
      </c>
      <c r="S43" s="40">
        <f t="shared" si="22"/>
        <v>0</v>
      </c>
    </row>
    <row r="44" spans="1:19" ht="12.75" hidden="1">
      <c r="A44" s="36" t="s">
        <v>81</v>
      </c>
      <c r="B44" s="17" t="s">
        <v>82</v>
      </c>
      <c r="C44" s="22"/>
      <c r="D44" s="23"/>
      <c r="E44" s="29">
        <f t="shared" si="17"/>
        <v>0</v>
      </c>
      <c r="F44" s="22"/>
      <c r="G44" s="23"/>
      <c r="H44" s="29">
        <f t="shared" si="18"/>
        <v>0</v>
      </c>
      <c r="I44" s="22"/>
      <c r="J44" s="23"/>
      <c r="K44" s="29">
        <f t="shared" si="19"/>
        <v>0</v>
      </c>
      <c r="L44" s="22"/>
      <c r="M44" s="23"/>
      <c r="N44" s="29">
        <f t="shared" si="20"/>
        <v>0</v>
      </c>
      <c r="O44" s="22"/>
      <c r="P44" s="23"/>
      <c r="Q44" s="29">
        <f t="shared" si="21"/>
        <v>0</v>
      </c>
      <c r="R44" s="40">
        <f t="shared" si="22"/>
        <v>0</v>
      </c>
      <c r="S44" s="40">
        <f t="shared" si="22"/>
        <v>0</v>
      </c>
    </row>
    <row r="45" spans="1:19" ht="12.75" hidden="1">
      <c r="A45" s="36" t="s">
        <v>83</v>
      </c>
      <c r="B45" s="17" t="s">
        <v>84</v>
      </c>
      <c r="C45" s="22"/>
      <c r="D45" s="23"/>
      <c r="E45" s="29">
        <f t="shared" si="17"/>
        <v>0</v>
      </c>
      <c r="F45" s="22"/>
      <c r="G45" s="23"/>
      <c r="H45" s="29">
        <f t="shared" si="18"/>
        <v>0</v>
      </c>
      <c r="I45" s="22"/>
      <c r="J45" s="23"/>
      <c r="K45" s="29">
        <f t="shared" si="19"/>
        <v>0</v>
      </c>
      <c r="L45" s="22"/>
      <c r="M45" s="23"/>
      <c r="N45" s="29">
        <f t="shared" si="20"/>
        <v>0</v>
      </c>
      <c r="O45" s="22"/>
      <c r="P45" s="23"/>
      <c r="Q45" s="29">
        <f t="shared" si="21"/>
        <v>0</v>
      </c>
      <c r="R45" s="40">
        <f t="shared" si="22"/>
        <v>0</v>
      </c>
      <c r="S45" s="40">
        <f t="shared" si="22"/>
        <v>0</v>
      </c>
    </row>
    <row r="46" spans="1:19" ht="12.75" hidden="1">
      <c r="A46" s="36" t="s">
        <v>85</v>
      </c>
      <c r="B46" s="17" t="s">
        <v>86</v>
      </c>
      <c r="C46" s="22"/>
      <c r="D46" s="23"/>
      <c r="E46" s="29">
        <f t="shared" si="17"/>
        <v>0</v>
      </c>
      <c r="F46" s="22"/>
      <c r="G46" s="23"/>
      <c r="H46" s="29">
        <f t="shared" si="18"/>
        <v>0</v>
      </c>
      <c r="I46" s="22"/>
      <c r="J46" s="23"/>
      <c r="K46" s="29">
        <f t="shared" si="19"/>
        <v>0</v>
      </c>
      <c r="L46" s="22"/>
      <c r="M46" s="23"/>
      <c r="N46" s="29">
        <f t="shared" si="20"/>
        <v>0</v>
      </c>
      <c r="O46" s="22"/>
      <c r="P46" s="23"/>
      <c r="Q46" s="29">
        <f t="shared" si="21"/>
        <v>0</v>
      </c>
      <c r="R46" s="40">
        <f t="shared" si="22"/>
        <v>0</v>
      </c>
      <c r="S46" s="40">
        <f t="shared" si="22"/>
        <v>0</v>
      </c>
    </row>
    <row r="47" spans="1:19" ht="12.75" hidden="1">
      <c r="A47" s="36" t="s">
        <v>87</v>
      </c>
      <c r="B47" s="17" t="s">
        <v>88</v>
      </c>
      <c r="C47" s="22"/>
      <c r="D47" s="23"/>
      <c r="E47" s="29">
        <f t="shared" si="17"/>
        <v>0</v>
      </c>
      <c r="F47" s="22"/>
      <c r="G47" s="23"/>
      <c r="H47" s="29">
        <f t="shared" si="18"/>
        <v>0</v>
      </c>
      <c r="I47" s="22"/>
      <c r="J47" s="23"/>
      <c r="K47" s="29">
        <f t="shared" si="19"/>
        <v>0</v>
      </c>
      <c r="L47" s="22"/>
      <c r="M47" s="23"/>
      <c r="N47" s="29">
        <f t="shared" si="20"/>
        <v>0</v>
      </c>
      <c r="O47" s="22"/>
      <c r="P47" s="23"/>
      <c r="Q47" s="29">
        <f t="shared" si="21"/>
        <v>0</v>
      </c>
      <c r="R47" s="40">
        <f t="shared" si="22"/>
        <v>0</v>
      </c>
      <c r="S47" s="40">
        <f t="shared" si="22"/>
        <v>0</v>
      </c>
    </row>
    <row r="48" spans="1:19" ht="12.75" hidden="1">
      <c r="A48" s="36" t="s">
        <v>89</v>
      </c>
      <c r="B48" s="17" t="s">
        <v>90</v>
      </c>
      <c r="C48" s="22"/>
      <c r="D48" s="23"/>
      <c r="E48" s="29">
        <f t="shared" si="17"/>
        <v>0</v>
      </c>
      <c r="F48" s="22"/>
      <c r="G48" s="23"/>
      <c r="H48" s="29">
        <f t="shared" si="18"/>
        <v>0</v>
      </c>
      <c r="I48" s="22"/>
      <c r="J48" s="23"/>
      <c r="K48" s="29">
        <f t="shared" si="19"/>
        <v>0</v>
      </c>
      <c r="L48" s="22"/>
      <c r="M48" s="23"/>
      <c r="N48" s="29">
        <f t="shared" si="20"/>
        <v>0</v>
      </c>
      <c r="O48" s="22"/>
      <c r="P48" s="23"/>
      <c r="Q48" s="29">
        <f t="shared" si="21"/>
        <v>0</v>
      </c>
      <c r="R48" s="40">
        <f t="shared" si="22"/>
        <v>0</v>
      </c>
      <c r="S48" s="40">
        <f t="shared" si="22"/>
        <v>0</v>
      </c>
    </row>
    <row r="49" spans="1:19" ht="12.75" hidden="1">
      <c r="A49" s="36" t="s">
        <v>91</v>
      </c>
      <c r="B49" s="17" t="s">
        <v>92</v>
      </c>
      <c r="C49" s="22"/>
      <c r="D49" s="23"/>
      <c r="E49" s="29">
        <f t="shared" si="17"/>
        <v>0</v>
      </c>
      <c r="F49" s="22"/>
      <c r="G49" s="23"/>
      <c r="H49" s="29">
        <f t="shared" si="18"/>
        <v>0</v>
      </c>
      <c r="I49" s="22"/>
      <c r="J49" s="23"/>
      <c r="K49" s="29">
        <f t="shared" si="19"/>
        <v>0</v>
      </c>
      <c r="L49" s="22"/>
      <c r="M49" s="23"/>
      <c r="N49" s="29">
        <f t="shared" si="20"/>
        <v>0</v>
      </c>
      <c r="O49" s="22"/>
      <c r="P49" s="23"/>
      <c r="Q49" s="29">
        <f t="shared" si="21"/>
        <v>0</v>
      </c>
      <c r="R49" s="40">
        <f t="shared" si="22"/>
        <v>0</v>
      </c>
      <c r="S49" s="40">
        <f t="shared" si="22"/>
        <v>0</v>
      </c>
    </row>
    <row r="50" spans="1:19" ht="12.75">
      <c r="A50" s="36" t="s">
        <v>93</v>
      </c>
      <c r="B50" s="17" t="s">
        <v>94</v>
      </c>
      <c r="C50" s="22">
        <v>1440471</v>
      </c>
      <c r="D50" s="23"/>
      <c r="E50" s="29">
        <f t="shared" si="17"/>
        <v>0</v>
      </c>
      <c r="F50" s="22">
        <v>1915886</v>
      </c>
      <c r="G50" s="23"/>
      <c r="H50" s="29">
        <f t="shared" si="18"/>
        <v>0</v>
      </c>
      <c r="I50" s="22">
        <v>4148436</v>
      </c>
      <c r="J50" s="23"/>
      <c r="K50" s="29">
        <f t="shared" si="19"/>
        <v>0</v>
      </c>
      <c r="L50" s="22"/>
      <c r="M50" s="23"/>
      <c r="N50" s="29">
        <f t="shared" si="20"/>
        <v>0</v>
      </c>
      <c r="O50" s="22"/>
      <c r="P50" s="23"/>
      <c r="Q50" s="29">
        <f t="shared" si="21"/>
        <v>0</v>
      </c>
      <c r="R50" s="40">
        <f t="shared" si="22"/>
        <v>7504793</v>
      </c>
      <c r="S50" s="40">
        <f t="shared" si="22"/>
        <v>0</v>
      </c>
    </row>
    <row r="51" spans="1:19" ht="12.75">
      <c r="A51" s="36" t="s">
        <v>95</v>
      </c>
      <c r="B51" s="17" t="s">
        <v>96</v>
      </c>
      <c r="C51" s="22">
        <f aca="true" t="shared" si="23" ref="C51:P51">SUM(C52:C54)</f>
        <v>0</v>
      </c>
      <c r="D51" s="23">
        <f t="shared" si="23"/>
        <v>0</v>
      </c>
      <c r="E51" s="29">
        <f t="shared" si="17"/>
        <v>0</v>
      </c>
      <c r="F51" s="22">
        <f t="shared" si="23"/>
        <v>3800642</v>
      </c>
      <c r="G51" s="23">
        <f t="shared" si="23"/>
        <v>131479</v>
      </c>
      <c r="H51" s="29">
        <f t="shared" si="18"/>
        <v>3.459389229503858</v>
      </c>
      <c r="I51" s="22">
        <f t="shared" si="23"/>
        <v>903408</v>
      </c>
      <c r="J51" s="23">
        <f t="shared" si="23"/>
        <v>903408</v>
      </c>
      <c r="K51" s="29">
        <f t="shared" si="19"/>
        <v>100</v>
      </c>
      <c r="L51" s="22">
        <f t="shared" si="23"/>
        <v>0</v>
      </c>
      <c r="M51" s="23">
        <f t="shared" si="23"/>
        <v>0</v>
      </c>
      <c r="N51" s="29">
        <f t="shared" si="20"/>
        <v>0</v>
      </c>
      <c r="O51" s="22">
        <f t="shared" si="23"/>
        <v>0</v>
      </c>
      <c r="P51" s="23">
        <f t="shared" si="23"/>
        <v>0</v>
      </c>
      <c r="Q51" s="29">
        <f t="shared" si="21"/>
        <v>0</v>
      </c>
      <c r="R51" s="40">
        <f t="shared" si="22"/>
        <v>4704050</v>
      </c>
      <c r="S51" s="40">
        <f t="shared" si="22"/>
        <v>1034887</v>
      </c>
    </row>
    <row r="52" spans="1:19" ht="12.75" hidden="1">
      <c r="A52" s="36" t="s">
        <v>97</v>
      </c>
      <c r="B52" s="17" t="s">
        <v>98</v>
      </c>
      <c r="C52" s="22"/>
      <c r="D52" s="23"/>
      <c r="E52" s="29">
        <f t="shared" si="17"/>
        <v>0</v>
      </c>
      <c r="F52" s="22"/>
      <c r="G52" s="23"/>
      <c r="H52" s="29">
        <f t="shared" si="18"/>
        <v>0</v>
      </c>
      <c r="I52" s="22"/>
      <c r="J52" s="23"/>
      <c r="K52" s="29">
        <f t="shared" si="19"/>
        <v>0</v>
      </c>
      <c r="L52" s="22"/>
      <c r="M52" s="23"/>
      <c r="N52" s="29">
        <f t="shared" si="20"/>
        <v>0</v>
      </c>
      <c r="O52" s="22"/>
      <c r="P52" s="23"/>
      <c r="Q52" s="29">
        <f t="shared" si="21"/>
        <v>0</v>
      </c>
      <c r="R52" s="40">
        <f t="shared" si="22"/>
        <v>0</v>
      </c>
      <c r="S52" s="40">
        <f t="shared" si="22"/>
        <v>0</v>
      </c>
    </row>
    <row r="53" spans="1:19" ht="12.75" hidden="1">
      <c r="A53" s="36" t="s">
        <v>99</v>
      </c>
      <c r="B53" s="17" t="s">
        <v>100</v>
      </c>
      <c r="C53" s="22"/>
      <c r="D53" s="23"/>
      <c r="E53" s="29">
        <f t="shared" si="17"/>
        <v>0</v>
      </c>
      <c r="F53" s="22"/>
      <c r="G53" s="23"/>
      <c r="H53" s="29">
        <f t="shared" si="18"/>
        <v>0</v>
      </c>
      <c r="I53" s="22"/>
      <c r="J53" s="23"/>
      <c r="K53" s="29">
        <f t="shared" si="19"/>
        <v>0</v>
      </c>
      <c r="L53" s="22"/>
      <c r="M53" s="23"/>
      <c r="N53" s="29">
        <f t="shared" si="20"/>
        <v>0</v>
      </c>
      <c r="O53" s="22"/>
      <c r="P53" s="23"/>
      <c r="Q53" s="29">
        <f t="shared" si="21"/>
        <v>0</v>
      </c>
      <c r="R53" s="40">
        <f t="shared" si="22"/>
        <v>0</v>
      </c>
      <c r="S53" s="40">
        <f t="shared" si="22"/>
        <v>0</v>
      </c>
    </row>
    <row r="54" spans="1:19" ht="12.75">
      <c r="A54" s="36" t="s">
        <v>101</v>
      </c>
      <c r="B54" s="17" t="s">
        <v>102</v>
      </c>
      <c r="C54" s="22"/>
      <c r="D54" s="23"/>
      <c r="E54" s="29">
        <f t="shared" si="17"/>
        <v>0</v>
      </c>
      <c r="F54" s="22">
        <v>3800642</v>
      </c>
      <c r="G54" s="23">
        <v>131479</v>
      </c>
      <c r="H54" s="29">
        <f t="shared" si="18"/>
        <v>3.459389229503858</v>
      </c>
      <c r="I54" s="22">
        <v>903408</v>
      </c>
      <c r="J54" s="23">
        <v>903408</v>
      </c>
      <c r="K54" s="29">
        <f t="shared" si="19"/>
        <v>100</v>
      </c>
      <c r="L54" s="22"/>
      <c r="M54" s="23"/>
      <c r="N54" s="29">
        <f t="shared" si="20"/>
        <v>0</v>
      </c>
      <c r="O54" s="22"/>
      <c r="P54" s="23"/>
      <c r="Q54" s="29">
        <f t="shared" si="21"/>
        <v>0</v>
      </c>
      <c r="R54" s="40">
        <f t="shared" si="22"/>
        <v>4704050</v>
      </c>
      <c r="S54" s="40">
        <f t="shared" si="22"/>
        <v>1034887</v>
      </c>
    </row>
    <row r="55" spans="1:19" ht="12.75">
      <c r="A55" s="36" t="s">
        <v>103</v>
      </c>
      <c r="B55" s="17" t="s">
        <v>104</v>
      </c>
      <c r="C55" s="22">
        <f aca="true" t="shared" si="24" ref="C55:P55">SUM(C56:C62)</f>
        <v>21316307</v>
      </c>
      <c r="D55" s="23">
        <f t="shared" si="24"/>
        <v>19428273.6</v>
      </c>
      <c r="E55" s="29">
        <f t="shared" si="17"/>
        <v>91.14277440271432</v>
      </c>
      <c r="F55" s="22">
        <f t="shared" si="24"/>
        <v>28170951</v>
      </c>
      <c r="G55" s="23">
        <f t="shared" si="24"/>
        <v>29020461</v>
      </c>
      <c r="H55" s="29">
        <f t="shared" si="18"/>
        <v>103.01555314905771</v>
      </c>
      <c r="I55" s="22">
        <f t="shared" si="24"/>
        <v>37938443</v>
      </c>
      <c r="J55" s="23">
        <f t="shared" si="24"/>
        <v>41090643</v>
      </c>
      <c r="K55" s="29">
        <f t="shared" si="19"/>
        <v>108.30872263260778</v>
      </c>
      <c r="L55" s="22">
        <f t="shared" si="24"/>
        <v>11993000</v>
      </c>
      <c r="M55" s="23">
        <f t="shared" si="24"/>
        <v>14284588</v>
      </c>
      <c r="N55" s="29">
        <f t="shared" si="20"/>
        <v>119.10771283248562</v>
      </c>
      <c r="O55" s="22">
        <f t="shared" si="24"/>
        <v>15715540</v>
      </c>
      <c r="P55" s="23">
        <f t="shared" si="24"/>
        <v>18724853</v>
      </c>
      <c r="Q55" s="29">
        <f t="shared" si="21"/>
        <v>119.14864522631738</v>
      </c>
      <c r="R55" s="40">
        <f t="shared" si="22"/>
        <v>115134241</v>
      </c>
      <c r="S55" s="40">
        <f t="shared" si="22"/>
        <v>122548818.6</v>
      </c>
    </row>
    <row r="56" spans="1:19" ht="12.75">
      <c r="A56" s="36" t="s">
        <v>105</v>
      </c>
      <c r="B56" s="17" t="s">
        <v>106</v>
      </c>
      <c r="C56" s="22">
        <v>2947269</v>
      </c>
      <c r="D56" s="23">
        <v>3301139.6</v>
      </c>
      <c r="E56" s="29">
        <f t="shared" si="17"/>
        <v>112.00672894126733</v>
      </c>
      <c r="F56" s="22">
        <v>3700142</v>
      </c>
      <c r="G56" s="23">
        <v>4934807</v>
      </c>
      <c r="H56" s="29">
        <f t="shared" si="18"/>
        <v>133.36804371291697</v>
      </c>
      <c r="I56" s="22">
        <v>6201015</v>
      </c>
      <c r="J56" s="23">
        <v>8198427</v>
      </c>
      <c r="K56" s="29">
        <f t="shared" si="19"/>
        <v>132.21104932015163</v>
      </c>
      <c r="L56" s="22">
        <v>9666000</v>
      </c>
      <c r="M56" s="23">
        <v>12105757</v>
      </c>
      <c r="N56" s="29">
        <f t="shared" si="20"/>
        <v>125.24060624870681</v>
      </c>
      <c r="O56" s="22">
        <v>13153140</v>
      </c>
      <c r="P56" s="23">
        <v>15615113</v>
      </c>
      <c r="Q56" s="29">
        <f t="shared" si="21"/>
        <v>118.7177586492655</v>
      </c>
      <c r="R56" s="40">
        <f t="shared" si="22"/>
        <v>35667566</v>
      </c>
      <c r="S56" s="40">
        <f t="shared" si="22"/>
        <v>44155243.6</v>
      </c>
    </row>
    <row r="57" spans="1:19" ht="12.75">
      <c r="A57" s="36" t="s">
        <v>107</v>
      </c>
      <c r="B57" s="17" t="s">
        <v>108</v>
      </c>
      <c r="C57" s="22">
        <v>320097</v>
      </c>
      <c r="D57" s="23">
        <v>330574.5</v>
      </c>
      <c r="E57" s="29">
        <f aca="true" t="shared" si="25" ref="E57:E72">IF(OR(D57=0,C57=0),0,D57/C57)*100</f>
        <v>103.27322655320106</v>
      </c>
      <c r="F57" s="22">
        <v>396396</v>
      </c>
      <c r="G57" s="23">
        <v>321554</v>
      </c>
      <c r="H57" s="29">
        <f aca="true" t="shared" si="26" ref="H57:H72">IF(OR(G57=0,F57=0),0,G57/F57)*100</f>
        <v>81.11938566484021</v>
      </c>
      <c r="I57" s="22">
        <v>508860</v>
      </c>
      <c r="J57" s="23">
        <v>507425</v>
      </c>
      <c r="K57" s="29">
        <f aca="true" t="shared" si="27" ref="K57:K72">IF(OR(J57=0,I57=0),0,J57/I57)*100</f>
        <v>99.71799709153795</v>
      </c>
      <c r="L57" s="22">
        <v>657000</v>
      </c>
      <c r="M57" s="23">
        <v>753021</v>
      </c>
      <c r="N57" s="29">
        <f aca="true" t="shared" si="28" ref="N57:N72">IF(OR(M57=0,L57=0),0,M57/L57)*100</f>
        <v>114.61506849315069</v>
      </c>
      <c r="O57" s="22">
        <v>1034800</v>
      </c>
      <c r="P57" s="23">
        <v>732202</v>
      </c>
      <c r="Q57" s="29">
        <f aca="true" t="shared" si="29" ref="Q57:Q72">IF(OR(P57=0,O57=0),0,P57/O57)*100</f>
        <v>70.75782759953614</v>
      </c>
      <c r="R57" s="40">
        <f aca="true" t="shared" si="30" ref="R57:S72">SUM(C57+F57+I57+L57+O57)</f>
        <v>2917153</v>
      </c>
      <c r="S57" s="40">
        <f t="shared" si="30"/>
        <v>2644776.5</v>
      </c>
    </row>
    <row r="58" spans="1:19" ht="12.75">
      <c r="A58" s="36" t="s">
        <v>109</v>
      </c>
      <c r="B58" s="17" t="s">
        <v>110</v>
      </c>
      <c r="C58" s="22">
        <v>1710992</v>
      </c>
      <c r="D58" s="23">
        <v>1122702.7</v>
      </c>
      <c r="E58" s="29">
        <f t="shared" si="25"/>
        <v>65.61706308387181</v>
      </c>
      <c r="F58" s="22">
        <v>1854288</v>
      </c>
      <c r="G58" s="23">
        <v>936114</v>
      </c>
      <c r="H58" s="29">
        <f t="shared" si="26"/>
        <v>50.48374362558567</v>
      </c>
      <c r="I58" s="22">
        <v>1739890</v>
      </c>
      <c r="J58" s="23">
        <v>984627</v>
      </c>
      <c r="K58" s="29">
        <f t="shared" si="27"/>
        <v>56.591336233899845</v>
      </c>
      <c r="L58" s="22">
        <v>1670000</v>
      </c>
      <c r="M58" s="23">
        <v>1425810</v>
      </c>
      <c r="N58" s="29">
        <f t="shared" si="28"/>
        <v>85.37784431137725</v>
      </c>
      <c r="O58" s="22">
        <v>1527600</v>
      </c>
      <c r="P58" s="23">
        <v>2377538</v>
      </c>
      <c r="Q58" s="29">
        <f t="shared" si="29"/>
        <v>155.6387797852841</v>
      </c>
      <c r="R58" s="40">
        <f t="shared" si="30"/>
        <v>8502770</v>
      </c>
      <c r="S58" s="40">
        <f t="shared" si="30"/>
        <v>6846791.7</v>
      </c>
    </row>
    <row r="59" spans="1:19" ht="12.75" hidden="1">
      <c r="A59" s="36" t="s">
        <v>111</v>
      </c>
      <c r="B59" s="17" t="s">
        <v>112</v>
      </c>
      <c r="C59" s="22"/>
      <c r="D59" s="23"/>
      <c r="E59" s="29">
        <f t="shared" si="25"/>
        <v>0</v>
      </c>
      <c r="F59" s="22"/>
      <c r="G59" s="23"/>
      <c r="H59" s="29">
        <f t="shared" si="26"/>
        <v>0</v>
      </c>
      <c r="I59" s="22"/>
      <c r="J59" s="23"/>
      <c r="K59" s="29">
        <f t="shared" si="27"/>
        <v>0</v>
      </c>
      <c r="L59" s="22"/>
      <c r="M59" s="23"/>
      <c r="N59" s="29">
        <f t="shared" si="28"/>
        <v>0</v>
      </c>
      <c r="O59" s="22"/>
      <c r="P59" s="23"/>
      <c r="Q59" s="29">
        <f t="shared" si="29"/>
        <v>0</v>
      </c>
      <c r="R59" s="40">
        <f t="shared" si="30"/>
        <v>0</v>
      </c>
      <c r="S59" s="40">
        <f t="shared" si="30"/>
        <v>0</v>
      </c>
    </row>
    <row r="60" spans="1:19" ht="12.75" hidden="1">
      <c r="A60" s="36" t="s">
        <v>113</v>
      </c>
      <c r="B60" s="17" t="s">
        <v>114</v>
      </c>
      <c r="C60" s="22"/>
      <c r="D60" s="23"/>
      <c r="E60" s="29">
        <f t="shared" si="25"/>
        <v>0</v>
      </c>
      <c r="F60" s="22"/>
      <c r="G60" s="23"/>
      <c r="H60" s="29">
        <f t="shared" si="26"/>
        <v>0</v>
      </c>
      <c r="I60" s="22"/>
      <c r="J60" s="23"/>
      <c r="K60" s="29">
        <f t="shared" si="27"/>
        <v>0</v>
      </c>
      <c r="L60" s="22"/>
      <c r="M60" s="23"/>
      <c r="N60" s="29">
        <f t="shared" si="28"/>
        <v>0</v>
      </c>
      <c r="O60" s="22"/>
      <c r="P60" s="23"/>
      <c r="Q60" s="29">
        <f t="shared" si="29"/>
        <v>0</v>
      </c>
      <c r="R60" s="40">
        <f t="shared" si="30"/>
        <v>0</v>
      </c>
      <c r="S60" s="40">
        <f t="shared" si="30"/>
        <v>0</v>
      </c>
    </row>
    <row r="61" spans="1:19" ht="12.75" hidden="1">
      <c r="A61" s="36" t="s">
        <v>115</v>
      </c>
      <c r="B61" s="17" t="s">
        <v>116</v>
      </c>
      <c r="C61" s="22"/>
      <c r="D61" s="23"/>
      <c r="E61" s="29">
        <f t="shared" si="25"/>
        <v>0</v>
      </c>
      <c r="F61" s="22"/>
      <c r="G61" s="23"/>
      <c r="H61" s="29">
        <f t="shared" si="26"/>
        <v>0</v>
      </c>
      <c r="I61" s="22"/>
      <c r="J61" s="23"/>
      <c r="K61" s="29">
        <f t="shared" si="27"/>
        <v>0</v>
      </c>
      <c r="L61" s="22"/>
      <c r="M61" s="23"/>
      <c r="N61" s="29">
        <f t="shared" si="28"/>
        <v>0</v>
      </c>
      <c r="O61" s="22"/>
      <c r="P61" s="23"/>
      <c r="Q61" s="29">
        <f t="shared" si="29"/>
        <v>0</v>
      </c>
      <c r="R61" s="40">
        <f t="shared" si="30"/>
        <v>0</v>
      </c>
      <c r="S61" s="40">
        <f t="shared" si="30"/>
        <v>0</v>
      </c>
    </row>
    <row r="62" spans="1:19" ht="12.75">
      <c r="A62" s="36" t="s">
        <v>117</v>
      </c>
      <c r="B62" s="17" t="s">
        <v>118</v>
      </c>
      <c r="C62" s="22">
        <v>16337949</v>
      </c>
      <c r="D62" s="23">
        <v>14673856.8</v>
      </c>
      <c r="E62" s="29">
        <f t="shared" si="25"/>
        <v>89.81455873071951</v>
      </c>
      <c r="F62" s="22">
        <v>22220125</v>
      </c>
      <c r="G62" s="23">
        <v>22827986</v>
      </c>
      <c r="H62" s="29">
        <f t="shared" si="26"/>
        <v>102.73563267533375</v>
      </c>
      <c r="I62" s="22">
        <v>29488678</v>
      </c>
      <c r="J62" s="23">
        <v>31400164</v>
      </c>
      <c r="K62" s="29">
        <f t="shared" si="27"/>
        <v>106.48210136785379</v>
      </c>
      <c r="L62" s="22"/>
      <c r="M62" s="23"/>
      <c r="N62" s="29">
        <f t="shared" si="28"/>
        <v>0</v>
      </c>
      <c r="O62" s="22"/>
      <c r="P62" s="23"/>
      <c r="Q62" s="29">
        <f t="shared" si="29"/>
        <v>0</v>
      </c>
      <c r="R62" s="40">
        <f t="shared" si="30"/>
        <v>68046752</v>
      </c>
      <c r="S62" s="40">
        <f t="shared" si="30"/>
        <v>68902006.8</v>
      </c>
    </row>
    <row r="63" spans="1:19" ht="12.75">
      <c r="A63" s="36" t="s">
        <v>119</v>
      </c>
      <c r="B63" s="17" t="s">
        <v>120</v>
      </c>
      <c r="C63" s="22">
        <f aca="true" t="shared" si="31" ref="C63:P63">SUM(C64)</f>
        <v>3781256</v>
      </c>
      <c r="D63" s="23">
        <f t="shared" si="31"/>
        <v>3452688.2</v>
      </c>
      <c r="E63" s="29">
        <f t="shared" si="25"/>
        <v>91.31061742447484</v>
      </c>
      <c r="F63" s="22">
        <f t="shared" si="31"/>
        <v>9616662</v>
      </c>
      <c r="G63" s="23">
        <f t="shared" si="31"/>
        <v>7262809</v>
      </c>
      <c r="H63" s="29">
        <f t="shared" si="26"/>
        <v>75.5231804965174</v>
      </c>
      <c r="I63" s="22">
        <f t="shared" si="31"/>
        <v>11547967</v>
      </c>
      <c r="J63" s="23">
        <f t="shared" si="31"/>
        <v>9402512</v>
      </c>
      <c r="K63" s="29">
        <f t="shared" si="27"/>
        <v>81.4213618726136</v>
      </c>
      <c r="L63" s="22">
        <f t="shared" si="31"/>
        <v>0</v>
      </c>
      <c r="M63" s="23">
        <f t="shared" si="31"/>
        <v>0</v>
      </c>
      <c r="N63" s="29">
        <f t="shared" si="28"/>
        <v>0</v>
      </c>
      <c r="O63" s="22">
        <f t="shared" si="31"/>
        <v>15804100</v>
      </c>
      <c r="P63" s="23">
        <f t="shared" si="31"/>
        <v>15978828</v>
      </c>
      <c r="Q63" s="29">
        <f t="shared" si="29"/>
        <v>101.10558652501567</v>
      </c>
      <c r="R63" s="40">
        <f t="shared" si="30"/>
        <v>40749985</v>
      </c>
      <c r="S63" s="40">
        <f t="shared" si="30"/>
        <v>36096837.2</v>
      </c>
    </row>
    <row r="64" spans="1:19" ht="12.75">
      <c r="A64" s="36" t="s">
        <v>121</v>
      </c>
      <c r="B64" s="17" t="s">
        <v>122</v>
      </c>
      <c r="C64" s="22">
        <v>3781256</v>
      </c>
      <c r="D64" s="23">
        <v>3452688.2</v>
      </c>
      <c r="E64" s="29">
        <f t="shared" si="25"/>
        <v>91.31061742447484</v>
      </c>
      <c r="F64" s="22">
        <v>9616662</v>
      </c>
      <c r="G64" s="23">
        <v>7262809</v>
      </c>
      <c r="H64" s="29">
        <f t="shared" si="26"/>
        <v>75.5231804965174</v>
      </c>
      <c r="I64" s="22">
        <v>11547967</v>
      </c>
      <c r="J64" s="23">
        <v>9402512</v>
      </c>
      <c r="K64" s="29">
        <f t="shared" si="27"/>
        <v>81.4213618726136</v>
      </c>
      <c r="L64" s="22"/>
      <c r="M64" s="23"/>
      <c r="N64" s="29">
        <f t="shared" si="28"/>
        <v>0</v>
      </c>
      <c r="O64" s="22">
        <v>15804100</v>
      </c>
      <c r="P64" s="23">
        <v>15978828</v>
      </c>
      <c r="Q64" s="29">
        <f t="shared" si="29"/>
        <v>101.10558652501567</v>
      </c>
      <c r="R64" s="40">
        <f t="shared" si="30"/>
        <v>40749985</v>
      </c>
      <c r="S64" s="40">
        <f t="shared" si="30"/>
        <v>36096837.2</v>
      </c>
    </row>
    <row r="65" spans="1:19" ht="12.75">
      <c r="A65" s="36" t="s">
        <v>123</v>
      </c>
      <c r="B65" s="17" t="s">
        <v>124</v>
      </c>
      <c r="C65" s="22">
        <v>427687</v>
      </c>
      <c r="D65" s="23">
        <v>1554356.6</v>
      </c>
      <c r="E65" s="29">
        <f t="shared" si="25"/>
        <v>363.43321167115204</v>
      </c>
      <c r="F65" s="22">
        <v>785575</v>
      </c>
      <c r="G65" s="23">
        <v>432034</v>
      </c>
      <c r="H65" s="29">
        <f t="shared" si="26"/>
        <v>54.99589472679247</v>
      </c>
      <c r="I65" s="22">
        <v>998000</v>
      </c>
      <c r="J65" s="23">
        <v>755360</v>
      </c>
      <c r="K65" s="29">
        <f t="shared" si="27"/>
        <v>75.687374749499</v>
      </c>
      <c r="L65" s="22"/>
      <c r="M65" s="23"/>
      <c r="N65" s="29">
        <f t="shared" si="28"/>
        <v>0</v>
      </c>
      <c r="O65" s="22"/>
      <c r="P65" s="23"/>
      <c r="Q65" s="29">
        <f t="shared" si="29"/>
        <v>0</v>
      </c>
      <c r="R65" s="40">
        <f t="shared" si="30"/>
        <v>2211262</v>
      </c>
      <c r="S65" s="40">
        <f t="shared" si="30"/>
        <v>2741750.6</v>
      </c>
    </row>
    <row r="66" spans="1:19" ht="12.75">
      <c r="A66" s="36" t="s">
        <v>125</v>
      </c>
      <c r="B66" s="17" t="s">
        <v>126</v>
      </c>
      <c r="C66" s="22">
        <v>1680155</v>
      </c>
      <c r="D66" s="23">
        <v>1215268.4</v>
      </c>
      <c r="E66" s="29">
        <f t="shared" si="25"/>
        <v>72.33073139085381</v>
      </c>
      <c r="F66" s="22">
        <v>2629071</v>
      </c>
      <c r="G66" s="23">
        <v>913775</v>
      </c>
      <c r="H66" s="29">
        <f t="shared" si="26"/>
        <v>34.75657370987699</v>
      </c>
      <c r="I66" s="22">
        <v>2473600</v>
      </c>
      <c r="J66" s="23">
        <v>1516069</v>
      </c>
      <c r="K66" s="29">
        <f t="shared" si="27"/>
        <v>61.28998221216041</v>
      </c>
      <c r="L66" s="22"/>
      <c r="M66" s="23"/>
      <c r="N66" s="29">
        <f t="shared" si="28"/>
        <v>0</v>
      </c>
      <c r="O66" s="22"/>
      <c r="P66" s="23"/>
      <c r="Q66" s="29">
        <f t="shared" si="29"/>
        <v>0</v>
      </c>
      <c r="R66" s="40">
        <f t="shared" si="30"/>
        <v>6782826</v>
      </c>
      <c r="S66" s="40">
        <f t="shared" si="30"/>
        <v>3645112.4</v>
      </c>
    </row>
    <row r="67" spans="1:19" ht="12.75">
      <c r="A67" s="36" t="s">
        <v>127</v>
      </c>
      <c r="B67" s="17" t="s">
        <v>128</v>
      </c>
      <c r="C67" s="22">
        <f aca="true" t="shared" si="32" ref="C67:P67">SUM(C68:C76)</f>
        <v>0</v>
      </c>
      <c r="D67" s="23">
        <f t="shared" si="32"/>
        <v>0</v>
      </c>
      <c r="E67" s="29">
        <f t="shared" si="25"/>
        <v>0</v>
      </c>
      <c r="F67" s="22">
        <f t="shared" si="32"/>
        <v>0</v>
      </c>
      <c r="G67" s="23">
        <f t="shared" si="32"/>
        <v>0</v>
      </c>
      <c r="H67" s="29">
        <f t="shared" si="26"/>
        <v>0</v>
      </c>
      <c r="I67" s="22">
        <f t="shared" si="32"/>
        <v>0</v>
      </c>
      <c r="J67" s="23">
        <f t="shared" si="32"/>
        <v>0</v>
      </c>
      <c r="K67" s="29">
        <f t="shared" si="27"/>
        <v>0</v>
      </c>
      <c r="L67" s="22">
        <f t="shared" si="32"/>
        <v>0</v>
      </c>
      <c r="M67" s="23">
        <f t="shared" si="32"/>
        <v>1144243.22</v>
      </c>
      <c r="N67" s="29">
        <f t="shared" si="28"/>
        <v>0</v>
      </c>
      <c r="O67" s="22">
        <f t="shared" si="32"/>
        <v>6407571.2</v>
      </c>
      <c r="P67" s="23">
        <f t="shared" si="32"/>
        <v>8775265</v>
      </c>
      <c r="Q67" s="29">
        <f t="shared" si="29"/>
        <v>136.9515019981362</v>
      </c>
      <c r="R67" s="40">
        <f t="shared" si="30"/>
        <v>6407571.2</v>
      </c>
      <c r="S67" s="40">
        <f t="shared" si="30"/>
        <v>9919508.22</v>
      </c>
    </row>
    <row r="68" spans="1:19" ht="12.75">
      <c r="A68" s="36" t="s">
        <v>129</v>
      </c>
      <c r="B68" s="17" t="s">
        <v>130</v>
      </c>
      <c r="C68" s="22"/>
      <c r="D68" s="23"/>
      <c r="E68" s="29">
        <f t="shared" si="25"/>
        <v>0</v>
      </c>
      <c r="F68" s="22"/>
      <c r="G68" s="23"/>
      <c r="H68" s="29">
        <f t="shared" si="26"/>
        <v>0</v>
      </c>
      <c r="I68" s="22"/>
      <c r="J68" s="23"/>
      <c r="K68" s="29">
        <f t="shared" si="27"/>
        <v>0</v>
      </c>
      <c r="L68" s="22"/>
      <c r="M68" s="23">
        <v>1144243.22</v>
      </c>
      <c r="N68" s="29">
        <f t="shared" si="28"/>
        <v>0</v>
      </c>
      <c r="O68" s="22">
        <v>6407571.2</v>
      </c>
      <c r="P68" s="23">
        <v>8775265</v>
      </c>
      <c r="Q68" s="29">
        <f t="shared" si="29"/>
        <v>136.9515019981362</v>
      </c>
      <c r="R68" s="40">
        <f t="shared" si="30"/>
        <v>6407571.2</v>
      </c>
      <c r="S68" s="40">
        <f t="shared" si="30"/>
        <v>9919508.22</v>
      </c>
    </row>
    <row r="69" spans="1:19" ht="12.75" hidden="1">
      <c r="A69" s="36" t="s">
        <v>131</v>
      </c>
      <c r="B69" s="17" t="s">
        <v>132</v>
      </c>
      <c r="C69" s="22"/>
      <c r="D69" s="23"/>
      <c r="E69" s="29">
        <f t="shared" si="25"/>
        <v>0</v>
      </c>
      <c r="F69" s="22"/>
      <c r="G69" s="23"/>
      <c r="H69" s="29">
        <f t="shared" si="26"/>
        <v>0</v>
      </c>
      <c r="I69" s="22"/>
      <c r="J69" s="23"/>
      <c r="K69" s="29">
        <f t="shared" si="27"/>
        <v>0</v>
      </c>
      <c r="L69" s="22"/>
      <c r="M69" s="23"/>
      <c r="N69" s="29">
        <f t="shared" si="28"/>
        <v>0</v>
      </c>
      <c r="O69" s="22"/>
      <c r="P69" s="23"/>
      <c r="Q69" s="29">
        <f t="shared" si="29"/>
        <v>0</v>
      </c>
      <c r="R69" s="40">
        <f t="shared" si="30"/>
        <v>0</v>
      </c>
      <c r="S69" s="40">
        <f t="shared" si="30"/>
        <v>0</v>
      </c>
    </row>
    <row r="70" spans="1:19" ht="12.75" hidden="1">
      <c r="A70" s="36" t="s">
        <v>133</v>
      </c>
      <c r="B70" s="17" t="s">
        <v>134</v>
      </c>
      <c r="C70" s="22"/>
      <c r="D70" s="23"/>
      <c r="E70" s="29">
        <f t="shared" si="25"/>
        <v>0</v>
      </c>
      <c r="F70" s="22"/>
      <c r="G70" s="23"/>
      <c r="H70" s="29">
        <f t="shared" si="26"/>
        <v>0</v>
      </c>
      <c r="I70" s="22"/>
      <c r="J70" s="23"/>
      <c r="K70" s="29">
        <f t="shared" si="27"/>
        <v>0</v>
      </c>
      <c r="L70" s="22"/>
      <c r="M70" s="23"/>
      <c r="N70" s="29">
        <f t="shared" si="28"/>
        <v>0</v>
      </c>
      <c r="O70" s="22"/>
      <c r="P70" s="23"/>
      <c r="Q70" s="29">
        <f t="shared" si="29"/>
        <v>0</v>
      </c>
      <c r="R70" s="40">
        <f t="shared" si="30"/>
        <v>0</v>
      </c>
      <c r="S70" s="40">
        <f t="shared" si="30"/>
        <v>0</v>
      </c>
    </row>
    <row r="71" spans="1:19" ht="12.75" hidden="1">
      <c r="A71" s="36" t="s">
        <v>135</v>
      </c>
      <c r="B71" s="17" t="s">
        <v>136</v>
      </c>
      <c r="C71" s="22"/>
      <c r="D71" s="23"/>
      <c r="E71" s="29">
        <f t="shared" si="25"/>
        <v>0</v>
      </c>
      <c r="F71" s="22"/>
      <c r="G71" s="23"/>
      <c r="H71" s="29">
        <f t="shared" si="26"/>
        <v>0</v>
      </c>
      <c r="I71" s="22"/>
      <c r="J71" s="23"/>
      <c r="K71" s="29">
        <f t="shared" si="27"/>
        <v>0</v>
      </c>
      <c r="L71" s="22"/>
      <c r="M71" s="23"/>
      <c r="N71" s="29">
        <f t="shared" si="28"/>
        <v>0</v>
      </c>
      <c r="O71" s="22"/>
      <c r="P71" s="23"/>
      <c r="Q71" s="29">
        <f t="shared" si="29"/>
        <v>0</v>
      </c>
      <c r="R71" s="40">
        <f t="shared" si="30"/>
        <v>0</v>
      </c>
      <c r="S71" s="40">
        <f t="shared" si="30"/>
        <v>0</v>
      </c>
    </row>
    <row r="72" spans="1:19" ht="12.75" hidden="1">
      <c r="A72" s="36" t="s">
        <v>137</v>
      </c>
      <c r="B72" s="17" t="s">
        <v>138</v>
      </c>
      <c r="C72" s="22"/>
      <c r="D72" s="23"/>
      <c r="E72" s="29">
        <f t="shared" si="25"/>
        <v>0</v>
      </c>
      <c r="F72" s="22"/>
      <c r="G72" s="23"/>
      <c r="H72" s="29">
        <f t="shared" si="26"/>
        <v>0</v>
      </c>
      <c r="I72" s="22"/>
      <c r="J72" s="23"/>
      <c r="K72" s="29">
        <f t="shared" si="27"/>
        <v>0</v>
      </c>
      <c r="L72" s="22"/>
      <c r="M72" s="23"/>
      <c r="N72" s="29">
        <f t="shared" si="28"/>
        <v>0</v>
      </c>
      <c r="O72" s="22"/>
      <c r="P72" s="23"/>
      <c r="Q72" s="29">
        <f t="shared" si="29"/>
        <v>0</v>
      </c>
      <c r="R72" s="40">
        <f t="shared" si="30"/>
        <v>0</v>
      </c>
      <c r="S72" s="40">
        <f t="shared" si="30"/>
        <v>0</v>
      </c>
    </row>
    <row r="73" spans="1:19" ht="12.75" hidden="1">
      <c r="A73" s="36" t="s">
        <v>139</v>
      </c>
      <c r="B73" s="17" t="s">
        <v>140</v>
      </c>
      <c r="C73" s="22"/>
      <c r="D73" s="23"/>
      <c r="E73" s="29">
        <f aca="true" t="shared" si="33" ref="E73:E88">IF(OR(D73=0,C73=0),0,D73/C73)*100</f>
        <v>0</v>
      </c>
      <c r="F73" s="22"/>
      <c r="G73" s="23"/>
      <c r="H73" s="29">
        <f aca="true" t="shared" si="34" ref="H73:H88">IF(OR(G73=0,F73=0),0,G73/F73)*100</f>
        <v>0</v>
      </c>
      <c r="I73" s="22"/>
      <c r="J73" s="23"/>
      <c r="K73" s="29">
        <f aca="true" t="shared" si="35" ref="K73:K88">IF(OR(J73=0,I73=0),0,J73/I73)*100</f>
        <v>0</v>
      </c>
      <c r="L73" s="22"/>
      <c r="M73" s="23"/>
      <c r="N73" s="29">
        <f aca="true" t="shared" si="36" ref="N73:N88">IF(OR(M73=0,L73=0),0,M73/L73)*100</f>
        <v>0</v>
      </c>
      <c r="O73" s="22"/>
      <c r="P73" s="23"/>
      <c r="Q73" s="29">
        <f aca="true" t="shared" si="37" ref="Q73:Q88">IF(OR(P73=0,O73=0),0,P73/O73)*100</f>
        <v>0</v>
      </c>
      <c r="R73" s="40">
        <f aca="true" t="shared" si="38" ref="R73:S88">SUM(C73+F73+I73+L73+O73)</f>
        <v>0</v>
      </c>
      <c r="S73" s="40">
        <f t="shared" si="38"/>
        <v>0</v>
      </c>
    </row>
    <row r="74" spans="1:19" ht="12.75" hidden="1">
      <c r="A74" s="36" t="s">
        <v>141</v>
      </c>
      <c r="B74" s="17" t="s">
        <v>142</v>
      </c>
      <c r="C74" s="22"/>
      <c r="D74" s="23"/>
      <c r="E74" s="29">
        <f t="shared" si="33"/>
        <v>0</v>
      </c>
      <c r="F74" s="22"/>
      <c r="G74" s="23"/>
      <c r="H74" s="29">
        <f t="shared" si="34"/>
        <v>0</v>
      </c>
      <c r="I74" s="22"/>
      <c r="J74" s="23"/>
      <c r="K74" s="29">
        <f t="shared" si="35"/>
        <v>0</v>
      </c>
      <c r="L74" s="22"/>
      <c r="M74" s="23"/>
      <c r="N74" s="29">
        <f t="shared" si="36"/>
        <v>0</v>
      </c>
      <c r="O74" s="22"/>
      <c r="P74" s="23"/>
      <c r="Q74" s="29">
        <f t="shared" si="37"/>
        <v>0</v>
      </c>
      <c r="R74" s="40">
        <f t="shared" si="38"/>
        <v>0</v>
      </c>
      <c r="S74" s="40">
        <f t="shared" si="38"/>
        <v>0</v>
      </c>
    </row>
    <row r="75" spans="1:19" ht="12.75" hidden="1">
      <c r="A75" s="36" t="s">
        <v>143</v>
      </c>
      <c r="B75" s="17" t="s">
        <v>144</v>
      </c>
      <c r="C75" s="22"/>
      <c r="D75" s="23"/>
      <c r="E75" s="29">
        <f t="shared" si="33"/>
        <v>0</v>
      </c>
      <c r="F75" s="22"/>
      <c r="G75" s="23"/>
      <c r="H75" s="29">
        <f t="shared" si="34"/>
        <v>0</v>
      </c>
      <c r="I75" s="22"/>
      <c r="J75" s="23"/>
      <c r="K75" s="29">
        <f t="shared" si="35"/>
        <v>0</v>
      </c>
      <c r="L75" s="22"/>
      <c r="M75" s="23"/>
      <c r="N75" s="29">
        <f t="shared" si="36"/>
        <v>0</v>
      </c>
      <c r="O75" s="22"/>
      <c r="P75" s="23"/>
      <c r="Q75" s="29">
        <f t="shared" si="37"/>
        <v>0</v>
      </c>
      <c r="R75" s="40">
        <f t="shared" si="38"/>
        <v>0</v>
      </c>
      <c r="S75" s="40">
        <f t="shared" si="38"/>
        <v>0</v>
      </c>
    </row>
    <row r="76" spans="1:19" ht="12.75" hidden="1">
      <c r="A76" s="36" t="s">
        <v>145</v>
      </c>
      <c r="B76" s="17" t="s">
        <v>146</v>
      </c>
      <c r="C76" s="22"/>
      <c r="D76" s="23"/>
      <c r="E76" s="29">
        <f t="shared" si="33"/>
        <v>0</v>
      </c>
      <c r="F76" s="22"/>
      <c r="G76" s="23"/>
      <c r="H76" s="29">
        <f t="shared" si="34"/>
        <v>0</v>
      </c>
      <c r="I76" s="22"/>
      <c r="J76" s="23"/>
      <c r="K76" s="29">
        <f t="shared" si="35"/>
        <v>0</v>
      </c>
      <c r="L76" s="22"/>
      <c r="M76" s="23"/>
      <c r="N76" s="29">
        <f t="shared" si="36"/>
        <v>0</v>
      </c>
      <c r="O76" s="22"/>
      <c r="P76" s="23"/>
      <c r="Q76" s="29">
        <f t="shared" si="37"/>
        <v>0</v>
      </c>
      <c r="R76" s="40">
        <f t="shared" si="38"/>
        <v>0</v>
      </c>
      <c r="S76" s="40">
        <f t="shared" si="38"/>
        <v>0</v>
      </c>
    </row>
    <row r="77" spans="1:19" ht="12.75">
      <c r="A77" s="34" t="s">
        <v>147</v>
      </c>
      <c r="B77" s="35" t="s">
        <v>148</v>
      </c>
      <c r="C77" s="20">
        <f aca="true" t="shared" si="39" ref="C77:P77">SUM(C78+C87+C88+C97+C104)</f>
        <v>8113596</v>
      </c>
      <c r="D77" s="21">
        <f t="shared" si="39"/>
        <v>1769506.6</v>
      </c>
      <c r="E77" s="28">
        <f t="shared" si="33"/>
        <v>21.80915342592853</v>
      </c>
      <c r="F77" s="20">
        <f t="shared" si="39"/>
        <v>10920117</v>
      </c>
      <c r="G77" s="21">
        <f t="shared" si="39"/>
        <v>1207104</v>
      </c>
      <c r="H77" s="28">
        <f t="shared" si="34"/>
        <v>11.05394749891416</v>
      </c>
      <c r="I77" s="20">
        <f t="shared" si="39"/>
        <v>16266110</v>
      </c>
      <c r="J77" s="21">
        <f t="shared" si="39"/>
        <v>9543235</v>
      </c>
      <c r="K77" s="28">
        <f t="shared" si="35"/>
        <v>58.66943602373278</v>
      </c>
      <c r="L77" s="20">
        <f t="shared" si="39"/>
        <v>69983000</v>
      </c>
      <c r="M77" s="21">
        <f t="shared" si="39"/>
        <v>82446188.76</v>
      </c>
      <c r="N77" s="28">
        <f t="shared" si="36"/>
        <v>117.80888038523642</v>
      </c>
      <c r="O77" s="20">
        <f t="shared" si="39"/>
        <v>165866323.29999998</v>
      </c>
      <c r="P77" s="21">
        <f t="shared" si="39"/>
        <v>170088904</v>
      </c>
      <c r="Q77" s="28">
        <f t="shared" si="37"/>
        <v>102.54577337701198</v>
      </c>
      <c r="R77" s="40">
        <f t="shared" si="38"/>
        <v>271149146.29999995</v>
      </c>
      <c r="S77" s="40">
        <f t="shared" si="38"/>
        <v>265054938.36</v>
      </c>
    </row>
    <row r="78" spans="1:19" ht="12.75">
      <c r="A78" s="34" t="s">
        <v>149</v>
      </c>
      <c r="B78" s="35" t="s">
        <v>150</v>
      </c>
      <c r="C78" s="20">
        <f aca="true" t="shared" si="40" ref="C78:P78">SUM(C79:C86)-C80</f>
        <v>0</v>
      </c>
      <c r="D78" s="21">
        <f t="shared" si="40"/>
        <v>0</v>
      </c>
      <c r="E78" s="28">
        <f t="shared" si="33"/>
        <v>0</v>
      </c>
      <c r="F78" s="20">
        <f t="shared" si="40"/>
        <v>0</v>
      </c>
      <c r="G78" s="21">
        <f t="shared" si="40"/>
        <v>0</v>
      </c>
      <c r="H78" s="28">
        <f t="shared" si="34"/>
        <v>0</v>
      </c>
      <c r="I78" s="20">
        <f t="shared" si="40"/>
        <v>9870087</v>
      </c>
      <c r="J78" s="21">
        <f t="shared" si="40"/>
        <v>3496275</v>
      </c>
      <c r="K78" s="28">
        <f t="shared" si="35"/>
        <v>35.422940040954046</v>
      </c>
      <c r="L78" s="20">
        <f t="shared" si="40"/>
        <v>69983000</v>
      </c>
      <c r="M78" s="21">
        <f t="shared" si="40"/>
        <v>64669394.31</v>
      </c>
      <c r="N78" s="28">
        <f t="shared" si="36"/>
        <v>92.4072907849049</v>
      </c>
      <c r="O78" s="20">
        <f t="shared" si="40"/>
        <v>158967724.2</v>
      </c>
      <c r="P78" s="21">
        <f t="shared" si="40"/>
        <v>158967745</v>
      </c>
      <c r="Q78" s="28">
        <f t="shared" si="37"/>
        <v>100.00001308441706</v>
      </c>
      <c r="R78" s="40">
        <f t="shared" si="38"/>
        <v>238820811.2</v>
      </c>
      <c r="S78" s="40">
        <f t="shared" si="38"/>
        <v>227133414.31</v>
      </c>
    </row>
    <row r="79" spans="1:19" ht="12.75">
      <c r="A79" s="36" t="s">
        <v>151</v>
      </c>
      <c r="B79" s="17" t="s">
        <v>152</v>
      </c>
      <c r="C79" s="22"/>
      <c r="D79" s="23"/>
      <c r="E79" s="29">
        <f t="shared" si="33"/>
        <v>0</v>
      </c>
      <c r="F79" s="22"/>
      <c r="G79" s="23"/>
      <c r="H79" s="29">
        <f t="shared" si="34"/>
        <v>0</v>
      </c>
      <c r="I79" s="22">
        <v>9870087</v>
      </c>
      <c r="J79" s="23">
        <v>3496275</v>
      </c>
      <c r="K79" s="29">
        <f t="shared" si="35"/>
        <v>35.422940040954046</v>
      </c>
      <c r="L79" s="22">
        <v>69983000</v>
      </c>
      <c r="M79" s="23">
        <v>63548894.31</v>
      </c>
      <c r="N79" s="29">
        <f t="shared" si="36"/>
        <v>90.80618765986026</v>
      </c>
      <c r="O79" s="22"/>
      <c r="P79" s="23"/>
      <c r="Q79" s="29">
        <f t="shared" si="37"/>
        <v>0</v>
      </c>
      <c r="R79" s="40">
        <f t="shared" si="38"/>
        <v>79853087</v>
      </c>
      <c r="S79" s="40">
        <f t="shared" si="38"/>
        <v>67045169.31</v>
      </c>
    </row>
    <row r="80" spans="1:19" ht="12.75" hidden="1">
      <c r="A80" s="36" t="s">
        <v>153</v>
      </c>
      <c r="B80" s="17" t="s">
        <v>154</v>
      </c>
      <c r="C80" s="22">
        <f aca="true" t="shared" si="41" ref="C80:P80">SUM(C81:C82)</f>
        <v>0</v>
      </c>
      <c r="D80" s="23">
        <f t="shared" si="41"/>
        <v>0</v>
      </c>
      <c r="E80" s="29">
        <f t="shared" si="33"/>
        <v>0</v>
      </c>
      <c r="F80" s="22">
        <f t="shared" si="41"/>
        <v>0</v>
      </c>
      <c r="G80" s="23">
        <f t="shared" si="41"/>
        <v>0</v>
      </c>
      <c r="H80" s="29">
        <f t="shared" si="34"/>
        <v>0</v>
      </c>
      <c r="I80" s="22">
        <f t="shared" si="41"/>
        <v>0</v>
      </c>
      <c r="J80" s="23">
        <f t="shared" si="41"/>
        <v>0</v>
      </c>
      <c r="K80" s="29">
        <f t="shared" si="35"/>
        <v>0</v>
      </c>
      <c r="L80" s="22">
        <f t="shared" si="41"/>
        <v>0</v>
      </c>
      <c r="M80" s="23">
        <f t="shared" si="41"/>
        <v>0</v>
      </c>
      <c r="N80" s="29">
        <f t="shared" si="36"/>
        <v>0</v>
      </c>
      <c r="O80" s="22">
        <f t="shared" si="41"/>
        <v>0</v>
      </c>
      <c r="P80" s="23">
        <f t="shared" si="41"/>
        <v>0</v>
      </c>
      <c r="Q80" s="29">
        <f t="shared" si="37"/>
        <v>0</v>
      </c>
      <c r="R80" s="40">
        <f t="shared" si="38"/>
        <v>0</v>
      </c>
      <c r="S80" s="40">
        <f t="shared" si="38"/>
        <v>0</v>
      </c>
    </row>
    <row r="81" spans="1:19" ht="12.75" hidden="1">
      <c r="A81" s="36" t="s">
        <v>155</v>
      </c>
      <c r="B81" s="17" t="s">
        <v>156</v>
      </c>
      <c r="C81" s="22"/>
      <c r="D81" s="23"/>
      <c r="E81" s="29">
        <f t="shared" si="33"/>
        <v>0</v>
      </c>
      <c r="F81" s="22"/>
      <c r="G81" s="23"/>
      <c r="H81" s="29">
        <f t="shared" si="34"/>
        <v>0</v>
      </c>
      <c r="I81" s="22"/>
      <c r="J81" s="23"/>
      <c r="K81" s="29">
        <f t="shared" si="35"/>
        <v>0</v>
      </c>
      <c r="L81" s="22"/>
      <c r="M81" s="23"/>
      <c r="N81" s="29">
        <f t="shared" si="36"/>
        <v>0</v>
      </c>
      <c r="O81" s="22"/>
      <c r="P81" s="23"/>
      <c r="Q81" s="29">
        <f t="shared" si="37"/>
        <v>0</v>
      </c>
      <c r="R81" s="40">
        <f t="shared" si="38"/>
        <v>0</v>
      </c>
      <c r="S81" s="40">
        <f t="shared" si="38"/>
        <v>0</v>
      </c>
    </row>
    <row r="82" spans="1:19" ht="12.75" hidden="1">
      <c r="A82" s="36" t="s">
        <v>157</v>
      </c>
      <c r="B82" s="17" t="s">
        <v>158</v>
      </c>
      <c r="C82" s="22"/>
      <c r="D82" s="23"/>
      <c r="E82" s="29">
        <f t="shared" si="33"/>
        <v>0</v>
      </c>
      <c r="F82" s="22"/>
      <c r="G82" s="23"/>
      <c r="H82" s="29">
        <f t="shared" si="34"/>
        <v>0</v>
      </c>
      <c r="I82" s="22"/>
      <c r="J82" s="23"/>
      <c r="K82" s="29">
        <f t="shared" si="35"/>
        <v>0</v>
      </c>
      <c r="L82" s="22"/>
      <c r="M82" s="23"/>
      <c r="N82" s="29">
        <f t="shared" si="36"/>
        <v>0</v>
      </c>
      <c r="O82" s="22"/>
      <c r="P82" s="23"/>
      <c r="Q82" s="29">
        <f t="shared" si="37"/>
        <v>0</v>
      </c>
      <c r="R82" s="40">
        <f t="shared" si="38"/>
        <v>0</v>
      </c>
      <c r="S82" s="40">
        <f t="shared" si="38"/>
        <v>0</v>
      </c>
    </row>
    <row r="83" spans="1:19" ht="12.75" hidden="1">
      <c r="A83" s="36" t="s">
        <v>159</v>
      </c>
      <c r="B83" s="17" t="s">
        <v>160</v>
      </c>
      <c r="C83" s="22"/>
      <c r="D83" s="23"/>
      <c r="E83" s="29">
        <f t="shared" si="33"/>
        <v>0</v>
      </c>
      <c r="F83" s="22"/>
      <c r="G83" s="23"/>
      <c r="H83" s="29">
        <f t="shared" si="34"/>
        <v>0</v>
      </c>
      <c r="I83" s="22"/>
      <c r="J83" s="23"/>
      <c r="K83" s="29">
        <f t="shared" si="35"/>
        <v>0</v>
      </c>
      <c r="L83" s="22"/>
      <c r="M83" s="23"/>
      <c r="N83" s="29">
        <f t="shared" si="36"/>
        <v>0</v>
      </c>
      <c r="O83" s="22"/>
      <c r="P83" s="23"/>
      <c r="Q83" s="29">
        <f t="shared" si="37"/>
        <v>0</v>
      </c>
      <c r="R83" s="40">
        <f t="shared" si="38"/>
        <v>0</v>
      </c>
      <c r="S83" s="40">
        <f t="shared" si="38"/>
        <v>0</v>
      </c>
    </row>
    <row r="84" spans="1:19" ht="12.75" hidden="1">
      <c r="A84" s="36" t="s">
        <v>161</v>
      </c>
      <c r="B84" s="17" t="s">
        <v>162</v>
      </c>
      <c r="C84" s="22"/>
      <c r="D84" s="23"/>
      <c r="E84" s="29">
        <f t="shared" si="33"/>
        <v>0</v>
      </c>
      <c r="F84" s="22"/>
      <c r="G84" s="23"/>
      <c r="H84" s="29">
        <f t="shared" si="34"/>
        <v>0</v>
      </c>
      <c r="I84" s="22"/>
      <c r="J84" s="23"/>
      <c r="K84" s="29">
        <f t="shared" si="35"/>
        <v>0</v>
      </c>
      <c r="L84" s="22"/>
      <c r="M84" s="23"/>
      <c r="N84" s="29">
        <f t="shared" si="36"/>
        <v>0</v>
      </c>
      <c r="O84" s="22"/>
      <c r="P84" s="23"/>
      <c r="Q84" s="29">
        <f t="shared" si="37"/>
        <v>0</v>
      </c>
      <c r="R84" s="40">
        <f t="shared" si="38"/>
        <v>0</v>
      </c>
      <c r="S84" s="40">
        <f t="shared" si="38"/>
        <v>0</v>
      </c>
    </row>
    <row r="85" spans="1:19" ht="12.75" hidden="1">
      <c r="A85" s="36" t="s">
        <v>163</v>
      </c>
      <c r="B85" s="17" t="s">
        <v>164</v>
      </c>
      <c r="C85" s="22"/>
      <c r="D85" s="23"/>
      <c r="E85" s="29">
        <f t="shared" si="33"/>
        <v>0</v>
      </c>
      <c r="F85" s="22"/>
      <c r="G85" s="23"/>
      <c r="H85" s="29">
        <f t="shared" si="34"/>
        <v>0</v>
      </c>
      <c r="I85" s="22"/>
      <c r="J85" s="23"/>
      <c r="K85" s="29">
        <f t="shared" si="35"/>
        <v>0</v>
      </c>
      <c r="L85" s="22"/>
      <c r="M85" s="23"/>
      <c r="N85" s="29">
        <f t="shared" si="36"/>
        <v>0</v>
      </c>
      <c r="O85" s="22"/>
      <c r="P85" s="23"/>
      <c r="Q85" s="29">
        <f t="shared" si="37"/>
        <v>0</v>
      </c>
      <c r="R85" s="40">
        <f t="shared" si="38"/>
        <v>0</v>
      </c>
      <c r="S85" s="40">
        <f t="shared" si="38"/>
        <v>0</v>
      </c>
    </row>
    <row r="86" spans="1:19" ht="12.75">
      <c r="A86" s="36" t="s">
        <v>165</v>
      </c>
      <c r="B86" s="17" t="s">
        <v>166</v>
      </c>
      <c r="C86" s="22"/>
      <c r="D86" s="23"/>
      <c r="E86" s="29">
        <f t="shared" si="33"/>
        <v>0</v>
      </c>
      <c r="F86" s="22"/>
      <c r="G86" s="23"/>
      <c r="H86" s="29">
        <f t="shared" si="34"/>
        <v>0</v>
      </c>
      <c r="I86" s="22"/>
      <c r="J86" s="23"/>
      <c r="K86" s="29">
        <f t="shared" si="35"/>
        <v>0</v>
      </c>
      <c r="L86" s="22"/>
      <c r="M86" s="23">
        <v>1120500</v>
      </c>
      <c r="N86" s="29">
        <f t="shared" si="36"/>
        <v>0</v>
      </c>
      <c r="O86" s="22">
        <v>158967724.2</v>
      </c>
      <c r="P86" s="23">
        <v>158967745</v>
      </c>
      <c r="Q86" s="29">
        <f t="shared" si="37"/>
        <v>100.00001308441706</v>
      </c>
      <c r="R86" s="40">
        <f t="shared" si="38"/>
        <v>158967724.2</v>
      </c>
      <c r="S86" s="40">
        <f t="shared" si="38"/>
        <v>160088245</v>
      </c>
    </row>
    <row r="87" spans="1:19" ht="12.75" hidden="1">
      <c r="A87" s="34" t="s">
        <v>167</v>
      </c>
      <c r="B87" s="35" t="s">
        <v>168</v>
      </c>
      <c r="C87" s="20"/>
      <c r="D87" s="21"/>
      <c r="E87" s="28">
        <f t="shared" si="33"/>
        <v>0</v>
      </c>
      <c r="F87" s="20"/>
      <c r="G87" s="21"/>
      <c r="H87" s="28">
        <f t="shared" si="34"/>
        <v>0</v>
      </c>
      <c r="I87" s="20"/>
      <c r="J87" s="21"/>
      <c r="K87" s="28">
        <f t="shared" si="35"/>
        <v>0</v>
      </c>
      <c r="L87" s="20"/>
      <c r="M87" s="21"/>
      <c r="N87" s="28">
        <f t="shared" si="36"/>
        <v>0</v>
      </c>
      <c r="O87" s="20"/>
      <c r="P87" s="21"/>
      <c r="Q87" s="28">
        <f t="shared" si="37"/>
        <v>0</v>
      </c>
      <c r="R87" s="40">
        <f t="shared" si="38"/>
        <v>0</v>
      </c>
      <c r="S87" s="40">
        <f t="shared" si="38"/>
        <v>0</v>
      </c>
    </row>
    <row r="88" spans="1:19" ht="12.75">
      <c r="A88" s="34" t="s">
        <v>169</v>
      </c>
      <c r="B88" s="35" t="s">
        <v>170</v>
      </c>
      <c r="C88" s="20">
        <f aca="true" t="shared" si="42" ref="C88:P88">SUM(C89:C96)</f>
        <v>8113596</v>
      </c>
      <c r="D88" s="21">
        <f t="shared" si="42"/>
        <v>1769506.6</v>
      </c>
      <c r="E88" s="28">
        <f t="shared" si="33"/>
        <v>21.80915342592853</v>
      </c>
      <c r="F88" s="20">
        <f t="shared" si="42"/>
        <v>10920117</v>
      </c>
      <c r="G88" s="21">
        <f t="shared" si="42"/>
        <v>1207104</v>
      </c>
      <c r="H88" s="28">
        <f t="shared" si="34"/>
        <v>11.05394749891416</v>
      </c>
      <c r="I88" s="20">
        <f t="shared" si="42"/>
        <v>6396023</v>
      </c>
      <c r="J88" s="21">
        <f t="shared" si="42"/>
        <v>6046960</v>
      </c>
      <c r="K88" s="28">
        <f t="shared" si="35"/>
        <v>94.54249929995562</v>
      </c>
      <c r="L88" s="20">
        <f t="shared" si="42"/>
        <v>0</v>
      </c>
      <c r="M88" s="21">
        <f t="shared" si="42"/>
        <v>17776794.45</v>
      </c>
      <c r="N88" s="28">
        <f t="shared" si="36"/>
        <v>0</v>
      </c>
      <c r="O88" s="20">
        <f t="shared" si="42"/>
        <v>6898599.1</v>
      </c>
      <c r="P88" s="21">
        <f t="shared" si="42"/>
        <v>11121159</v>
      </c>
      <c r="Q88" s="28">
        <f t="shared" si="37"/>
        <v>161.208947480366</v>
      </c>
      <c r="R88" s="40">
        <f t="shared" si="38"/>
        <v>32328335.1</v>
      </c>
      <c r="S88" s="40">
        <f t="shared" si="38"/>
        <v>37921524.05</v>
      </c>
    </row>
    <row r="89" spans="1:19" ht="12.75" hidden="1">
      <c r="A89" s="36" t="s">
        <v>171</v>
      </c>
      <c r="B89" s="17" t="s">
        <v>172</v>
      </c>
      <c r="C89" s="22"/>
      <c r="D89" s="23"/>
      <c r="E89" s="29">
        <f aca="true" t="shared" si="43" ref="E89:E104">IF(OR(D89=0,C89=0),0,D89/C89)*100</f>
        <v>0</v>
      </c>
      <c r="F89" s="22"/>
      <c r="G89" s="23"/>
      <c r="H89" s="29">
        <f aca="true" t="shared" si="44" ref="H89:H104">IF(OR(G89=0,F89=0),0,G89/F89)*100</f>
        <v>0</v>
      </c>
      <c r="I89" s="22"/>
      <c r="J89" s="23"/>
      <c r="K89" s="29">
        <f aca="true" t="shared" si="45" ref="K89:K104">IF(OR(J89=0,I89=0),0,J89/I89)*100</f>
        <v>0</v>
      </c>
      <c r="L89" s="22"/>
      <c r="M89" s="23"/>
      <c r="N89" s="29">
        <f aca="true" t="shared" si="46" ref="N89:N104">IF(OR(M89=0,L89=0),0,M89/L89)*100</f>
        <v>0</v>
      </c>
      <c r="O89" s="22"/>
      <c r="P89" s="23"/>
      <c r="Q89" s="29">
        <f aca="true" t="shared" si="47" ref="Q89:Q104">IF(OR(P89=0,O89=0),0,P89/O89)*100</f>
        <v>0</v>
      </c>
      <c r="R89" s="40">
        <f aca="true" t="shared" si="48" ref="R89:S104">SUM(C89+F89+I89+L89+O89)</f>
        <v>0</v>
      </c>
      <c r="S89" s="40">
        <f t="shared" si="48"/>
        <v>0</v>
      </c>
    </row>
    <row r="90" spans="1:19" ht="12.75" hidden="1">
      <c r="A90" s="36" t="s">
        <v>173</v>
      </c>
      <c r="B90" s="17" t="s">
        <v>174</v>
      </c>
      <c r="C90" s="22"/>
      <c r="D90" s="23"/>
      <c r="E90" s="29">
        <f t="shared" si="43"/>
        <v>0</v>
      </c>
      <c r="F90" s="22"/>
      <c r="G90" s="23"/>
      <c r="H90" s="29">
        <f t="shared" si="44"/>
        <v>0</v>
      </c>
      <c r="I90" s="22"/>
      <c r="J90" s="23"/>
      <c r="K90" s="29">
        <f t="shared" si="45"/>
        <v>0</v>
      </c>
      <c r="L90" s="22"/>
      <c r="M90" s="23"/>
      <c r="N90" s="29">
        <f t="shared" si="46"/>
        <v>0</v>
      </c>
      <c r="O90" s="22"/>
      <c r="P90" s="23"/>
      <c r="Q90" s="29">
        <f t="shared" si="47"/>
        <v>0</v>
      </c>
      <c r="R90" s="40">
        <f t="shared" si="48"/>
        <v>0</v>
      </c>
      <c r="S90" s="40">
        <f t="shared" si="48"/>
        <v>0</v>
      </c>
    </row>
    <row r="91" spans="1:19" ht="12.75" hidden="1">
      <c r="A91" s="36" t="s">
        <v>175</v>
      </c>
      <c r="B91" s="17" t="s">
        <v>176</v>
      </c>
      <c r="C91" s="22"/>
      <c r="D91" s="23"/>
      <c r="E91" s="29">
        <f t="shared" si="43"/>
        <v>0</v>
      </c>
      <c r="F91" s="22"/>
      <c r="G91" s="23"/>
      <c r="H91" s="29">
        <f t="shared" si="44"/>
        <v>0</v>
      </c>
      <c r="I91" s="22"/>
      <c r="J91" s="23"/>
      <c r="K91" s="29">
        <f t="shared" si="45"/>
        <v>0</v>
      </c>
      <c r="L91" s="22"/>
      <c r="M91" s="23"/>
      <c r="N91" s="29">
        <f t="shared" si="46"/>
        <v>0</v>
      </c>
      <c r="O91" s="22"/>
      <c r="P91" s="23"/>
      <c r="Q91" s="29">
        <f t="shared" si="47"/>
        <v>0</v>
      </c>
      <c r="R91" s="40">
        <f t="shared" si="48"/>
        <v>0</v>
      </c>
      <c r="S91" s="40">
        <f t="shared" si="48"/>
        <v>0</v>
      </c>
    </row>
    <row r="92" spans="1:19" ht="12.75">
      <c r="A92" s="36" t="s">
        <v>177</v>
      </c>
      <c r="B92" s="17" t="s">
        <v>178</v>
      </c>
      <c r="C92" s="22">
        <f>649986+945000+200000</f>
        <v>1794986</v>
      </c>
      <c r="D92" s="23"/>
      <c r="E92" s="29">
        <f t="shared" si="43"/>
        <v>0</v>
      </c>
      <c r="F92" s="22">
        <v>500000</v>
      </c>
      <c r="G92" s="23"/>
      <c r="H92" s="29">
        <f t="shared" si="44"/>
        <v>0</v>
      </c>
      <c r="I92" s="22"/>
      <c r="J92" s="23"/>
      <c r="K92" s="29">
        <f t="shared" si="45"/>
        <v>0</v>
      </c>
      <c r="L92" s="22"/>
      <c r="M92" s="23"/>
      <c r="N92" s="29">
        <f t="shared" si="46"/>
        <v>0</v>
      </c>
      <c r="O92" s="22"/>
      <c r="P92" s="23"/>
      <c r="Q92" s="29">
        <f t="shared" si="47"/>
        <v>0</v>
      </c>
      <c r="R92" s="40">
        <f t="shared" si="48"/>
        <v>2294986</v>
      </c>
      <c r="S92" s="40">
        <f t="shared" si="48"/>
        <v>0</v>
      </c>
    </row>
    <row r="93" spans="1:19" ht="12.75">
      <c r="A93" s="36" t="s">
        <v>179</v>
      </c>
      <c r="B93" s="17" t="s">
        <v>180</v>
      </c>
      <c r="C93" s="22">
        <f>485220+1000000</f>
        <v>1485220</v>
      </c>
      <c r="D93" s="23">
        <f>472907+999999.6</f>
        <v>1472906.6</v>
      </c>
      <c r="E93" s="29">
        <f t="shared" si="43"/>
        <v>99.17093763886832</v>
      </c>
      <c r="F93" s="22">
        <v>716117</v>
      </c>
      <c r="G93" s="23">
        <v>671304</v>
      </c>
      <c r="H93" s="29">
        <f t="shared" si="44"/>
        <v>93.7422236869115</v>
      </c>
      <c r="I93" s="22">
        <v>5202000</v>
      </c>
      <c r="J93" s="23">
        <v>5202000</v>
      </c>
      <c r="K93" s="29">
        <f t="shared" si="45"/>
        <v>100</v>
      </c>
      <c r="L93" s="22"/>
      <c r="M93" s="23"/>
      <c r="N93" s="29">
        <f t="shared" si="46"/>
        <v>0</v>
      </c>
      <c r="O93" s="22"/>
      <c r="P93" s="23"/>
      <c r="Q93" s="29">
        <f t="shared" si="47"/>
        <v>0</v>
      </c>
      <c r="R93" s="40">
        <f t="shared" si="48"/>
        <v>7403337</v>
      </c>
      <c r="S93" s="40">
        <f t="shared" si="48"/>
        <v>7346210.6</v>
      </c>
    </row>
    <row r="94" spans="1:19" ht="12.75" hidden="1">
      <c r="A94" s="36" t="s">
        <v>181</v>
      </c>
      <c r="B94" s="17" t="s">
        <v>182</v>
      </c>
      <c r="C94" s="22"/>
      <c r="D94" s="23"/>
      <c r="E94" s="29">
        <f t="shared" si="43"/>
        <v>0</v>
      </c>
      <c r="F94" s="22"/>
      <c r="G94" s="23"/>
      <c r="H94" s="29">
        <f t="shared" si="44"/>
        <v>0</v>
      </c>
      <c r="I94" s="22"/>
      <c r="J94" s="23"/>
      <c r="K94" s="29">
        <f t="shared" si="45"/>
        <v>0</v>
      </c>
      <c r="L94" s="22"/>
      <c r="M94" s="23"/>
      <c r="N94" s="29">
        <f t="shared" si="46"/>
        <v>0</v>
      </c>
      <c r="O94" s="22"/>
      <c r="P94" s="23"/>
      <c r="Q94" s="29">
        <f t="shared" si="47"/>
        <v>0</v>
      </c>
      <c r="R94" s="40">
        <f t="shared" si="48"/>
        <v>0</v>
      </c>
      <c r="S94" s="40">
        <f t="shared" si="48"/>
        <v>0</v>
      </c>
    </row>
    <row r="95" spans="1:19" ht="12.75" hidden="1">
      <c r="A95" s="36" t="s">
        <v>183</v>
      </c>
      <c r="B95" s="17" t="s">
        <v>184</v>
      </c>
      <c r="C95" s="22"/>
      <c r="D95" s="23"/>
      <c r="E95" s="29">
        <f t="shared" si="43"/>
        <v>0</v>
      </c>
      <c r="F95" s="22"/>
      <c r="G95" s="23"/>
      <c r="H95" s="29">
        <f t="shared" si="44"/>
        <v>0</v>
      </c>
      <c r="I95" s="22"/>
      <c r="J95" s="23"/>
      <c r="K95" s="29">
        <f t="shared" si="45"/>
        <v>0</v>
      </c>
      <c r="L95" s="22"/>
      <c r="M95" s="23"/>
      <c r="N95" s="29">
        <f t="shared" si="46"/>
        <v>0</v>
      </c>
      <c r="O95" s="22"/>
      <c r="P95" s="23"/>
      <c r="Q95" s="29">
        <f t="shared" si="47"/>
        <v>0</v>
      </c>
      <c r="R95" s="40">
        <f t="shared" si="48"/>
        <v>0</v>
      </c>
      <c r="S95" s="40">
        <f t="shared" si="48"/>
        <v>0</v>
      </c>
    </row>
    <row r="96" spans="1:19" ht="12.75">
      <c r="A96" s="36" t="s">
        <v>185</v>
      </c>
      <c r="B96" s="17" t="s">
        <v>186</v>
      </c>
      <c r="C96" s="22">
        <f>2376895+794193+1500000+2+162300</f>
        <v>4833390</v>
      </c>
      <c r="D96" s="23">
        <f>250000+46600</f>
        <v>296600</v>
      </c>
      <c r="E96" s="29">
        <f t="shared" si="43"/>
        <v>6.136479779202589</v>
      </c>
      <c r="F96" s="22">
        <f>6775000+1500000+1429000</f>
        <v>9704000</v>
      </c>
      <c r="G96" s="23">
        <f>285800+250000</f>
        <v>535800</v>
      </c>
      <c r="H96" s="29">
        <f t="shared" si="44"/>
        <v>5.521434460016488</v>
      </c>
      <c r="I96" s="22">
        <f>844960+1+349062</f>
        <v>1194023</v>
      </c>
      <c r="J96" s="23">
        <v>844960</v>
      </c>
      <c r="K96" s="29">
        <f t="shared" si="45"/>
        <v>70.76580601881203</v>
      </c>
      <c r="L96" s="22"/>
      <c r="M96" s="23">
        <v>17776794.45</v>
      </c>
      <c r="N96" s="29">
        <f t="shared" si="46"/>
        <v>0</v>
      </c>
      <c r="O96" s="22">
        <v>6898599.1</v>
      </c>
      <c r="P96" s="23">
        <v>11121159</v>
      </c>
      <c r="Q96" s="29">
        <f t="shared" si="47"/>
        <v>161.208947480366</v>
      </c>
      <c r="R96" s="40">
        <f t="shared" si="48"/>
        <v>22630012.1</v>
      </c>
      <c r="S96" s="40">
        <f t="shared" si="48"/>
        <v>30575313.45</v>
      </c>
    </row>
    <row r="97" spans="1:19" ht="12.75" hidden="1">
      <c r="A97" s="34" t="s">
        <v>187</v>
      </c>
      <c r="B97" s="35" t="s">
        <v>188</v>
      </c>
      <c r="C97" s="20">
        <f aca="true" t="shared" si="49" ref="C97:P97">SUM(C98:C103)</f>
        <v>0</v>
      </c>
      <c r="D97" s="21">
        <f t="shared" si="49"/>
        <v>0</v>
      </c>
      <c r="E97" s="28">
        <f t="shared" si="43"/>
        <v>0</v>
      </c>
      <c r="F97" s="20">
        <f t="shared" si="49"/>
        <v>0</v>
      </c>
      <c r="G97" s="21">
        <f t="shared" si="49"/>
        <v>0</v>
      </c>
      <c r="H97" s="28">
        <f t="shared" si="44"/>
        <v>0</v>
      </c>
      <c r="I97" s="20">
        <f t="shared" si="49"/>
        <v>0</v>
      </c>
      <c r="J97" s="21">
        <f t="shared" si="49"/>
        <v>0</v>
      </c>
      <c r="K97" s="28">
        <f t="shared" si="45"/>
        <v>0</v>
      </c>
      <c r="L97" s="20">
        <f t="shared" si="49"/>
        <v>0</v>
      </c>
      <c r="M97" s="21">
        <f t="shared" si="49"/>
        <v>0</v>
      </c>
      <c r="N97" s="28">
        <f t="shared" si="46"/>
        <v>0</v>
      </c>
      <c r="O97" s="20">
        <f t="shared" si="49"/>
        <v>0</v>
      </c>
      <c r="P97" s="21">
        <f t="shared" si="49"/>
        <v>0</v>
      </c>
      <c r="Q97" s="28">
        <f t="shared" si="47"/>
        <v>0</v>
      </c>
      <c r="R97" s="40">
        <f t="shared" si="48"/>
        <v>0</v>
      </c>
      <c r="S97" s="40">
        <f t="shared" si="48"/>
        <v>0</v>
      </c>
    </row>
    <row r="98" spans="1:19" ht="12.75" hidden="1">
      <c r="A98" s="36" t="s">
        <v>189</v>
      </c>
      <c r="B98" s="17" t="s">
        <v>190</v>
      </c>
      <c r="C98" s="22"/>
      <c r="D98" s="23"/>
      <c r="E98" s="29">
        <f t="shared" si="43"/>
        <v>0</v>
      </c>
      <c r="F98" s="22"/>
      <c r="G98" s="23"/>
      <c r="H98" s="29">
        <f t="shared" si="44"/>
        <v>0</v>
      </c>
      <c r="I98" s="22"/>
      <c r="J98" s="23"/>
      <c r="K98" s="29">
        <f t="shared" si="45"/>
        <v>0</v>
      </c>
      <c r="L98" s="22"/>
      <c r="M98" s="23"/>
      <c r="N98" s="29">
        <f t="shared" si="46"/>
        <v>0</v>
      </c>
      <c r="O98" s="22"/>
      <c r="P98" s="23"/>
      <c r="Q98" s="29">
        <f t="shared" si="47"/>
        <v>0</v>
      </c>
      <c r="R98" s="40">
        <f t="shared" si="48"/>
        <v>0</v>
      </c>
      <c r="S98" s="40">
        <f t="shared" si="48"/>
        <v>0</v>
      </c>
    </row>
    <row r="99" spans="1:19" ht="12.75" hidden="1">
      <c r="A99" s="36" t="s">
        <v>191</v>
      </c>
      <c r="B99" s="17" t="s">
        <v>28</v>
      </c>
      <c r="C99" s="22"/>
      <c r="D99" s="23"/>
      <c r="E99" s="29">
        <f t="shared" si="43"/>
        <v>0</v>
      </c>
      <c r="F99" s="22"/>
      <c r="G99" s="23"/>
      <c r="H99" s="29">
        <f t="shared" si="44"/>
        <v>0</v>
      </c>
      <c r="I99" s="22"/>
      <c r="J99" s="23"/>
      <c r="K99" s="29">
        <f t="shared" si="45"/>
        <v>0</v>
      </c>
      <c r="L99" s="22"/>
      <c r="M99" s="23"/>
      <c r="N99" s="29">
        <f t="shared" si="46"/>
        <v>0</v>
      </c>
      <c r="O99" s="22"/>
      <c r="P99" s="23"/>
      <c r="Q99" s="29">
        <f t="shared" si="47"/>
        <v>0</v>
      </c>
      <c r="R99" s="40">
        <f t="shared" si="48"/>
        <v>0</v>
      </c>
      <c r="S99" s="40">
        <f t="shared" si="48"/>
        <v>0</v>
      </c>
    </row>
    <row r="100" spans="1:19" ht="12.75" hidden="1">
      <c r="A100" s="36" t="s">
        <v>192</v>
      </c>
      <c r="B100" s="17" t="s">
        <v>193</v>
      </c>
      <c r="C100" s="22"/>
      <c r="D100" s="23"/>
      <c r="E100" s="29">
        <f t="shared" si="43"/>
        <v>0</v>
      </c>
      <c r="F100" s="22"/>
      <c r="G100" s="23"/>
      <c r="H100" s="29">
        <f t="shared" si="44"/>
        <v>0</v>
      </c>
      <c r="I100" s="22"/>
      <c r="J100" s="23"/>
      <c r="K100" s="29">
        <f t="shared" si="45"/>
        <v>0</v>
      </c>
      <c r="L100" s="22"/>
      <c r="M100" s="23"/>
      <c r="N100" s="29">
        <f t="shared" si="46"/>
        <v>0</v>
      </c>
      <c r="O100" s="22"/>
      <c r="P100" s="23"/>
      <c r="Q100" s="29">
        <f t="shared" si="47"/>
        <v>0</v>
      </c>
      <c r="R100" s="40">
        <f t="shared" si="48"/>
        <v>0</v>
      </c>
      <c r="S100" s="40">
        <f t="shared" si="48"/>
        <v>0</v>
      </c>
    </row>
    <row r="101" spans="1:19" ht="12.75" hidden="1">
      <c r="A101" s="36" t="s">
        <v>194</v>
      </c>
      <c r="B101" s="17" t="s">
        <v>195</v>
      </c>
      <c r="C101" s="22"/>
      <c r="D101" s="23"/>
      <c r="E101" s="29">
        <f t="shared" si="43"/>
        <v>0</v>
      </c>
      <c r="F101" s="22"/>
      <c r="G101" s="23"/>
      <c r="H101" s="29">
        <f t="shared" si="44"/>
        <v>0</v>
      </c>
      <c r="I101" s="22"/>
      <c r="J101" s="23"/>
      <c r="K101" s="29">
        <f t="shared" si="45"/>
        <v>0</v>
      </c>
      <c r="L101" s="22"/>
      <c r="M101" s="23"/>
      <c r="N101" s="29">
        <f t="shared" si="46"/>
        <v>0</v>
      </c>
      <c r="O101" s="22"/>
      <c r="P101" s="23"/>
      <c r="Q101" s="29">
        <f t="shared" si="47"/>
        <v>0</v>
      </c>
      <c r="R101" s="40">
        <f t="shared" si="48"/>
        <v>0</v>
      </c>
      <c r="S101" s="40">
        <f t="shared" si="48"/>
        <v>0</v>
      </c>
    </row>
    <row r="102" spans="1:19" ht="12.75" hidden="1">
      <c r="A102" s="36" t="s">
        <v>196</v>
      </c>
      <c r="B102" s="17" t="s">
        <v>152</v>
      </c>
      <c r="C102" s="22"/>
      <c r="D102" s="23"/>
      <c r="E102" s="29">
        <f t="shared" si="43"/>
        <v>0</v>
      </c>
      <c r="F102" s="22"/>
      <c r="G102" s="23"/>
      <c r="H102" s="29">
        <f t="shared" si="44"/>
        <v>0</v>
      </c>
      <c r="I102" s="22"/>
      <c r="J102" s="23"/>
      <c r="K102" s="29">
        <f t="shared" si="45"/>
        <v>0</v>
      </c>
      <c r="L102" s="22"/>
      <c r="M102" s="23"/>
      <c r="N102" s="29">
        <f t="shared" si="46"/>
        <v>0</v>
      </c>
      <c r="O102" s="22"/>
      <c r="P102" s="23"/>
      <c r="Q102" s="29">
        <f t="shared" si="47"/>
        <v>0</v>
      </c>
      <c r="R102" s="40">
        <f t="shared" si="48"/>
        <v>0</v>
      </c>
      <c r="S102" s="40">
        <f t="shared" si="48"/>
        <v>0</v>
      </c>
    </row>
    <row r="103" spans="1:19" ht="12.75" hidden="1">
      <c r="A103" s="36" t="s">
        <v>197</v>
      </c>
      <c r="B103" s="17" t="s">
        <v>154</v>
      </c>
      <c r="C103" s="22"/>
      <c r="D103" s="23"/>
      <c r="E103" s="29">
        <f t="shared" si="43"/>
        <v>0</v>
      </c>
      <c r="F103" s="22"/>
      <c r="G103" s="23"/>
      <c r="H103" s="29">
        <f t="shared" si="44"/>
        <v>0</v>
      </c>
      <c r="I103" s="22"/>
      <c r="J103" s="23"/>
      <c r="K103" s="29">
        <f t="shared" si="45"/>
        <v>0</v>
      </c>
      <c r="L103" s="22"/>
      <c r="M103" s="23"/>
      <c r="N103" s="29">
        <f t="shared" si="46"/>
        <v>0</v>
      </c>
      <c r="O103" s="22"/>
      <c r="P103" s="23"/>
      <c r="Q103" s="29">
        <f t="shared" si="47"/>
        <v>0</v>
      </c>
      <c r="R103" s="40">
        <f t="shared" si="48"/>
        <v>0</v>
      </c>
      <c r="S103" s="40">
        <f t="shared" si="48"/>
        <v>0</v>
      </c>
    </row>
    <row r="104" spans="1:19" ht="12.75" hidden="1">
      <c r="A104" s="34" t="s">
        <v>198</v>
      </c>
      <c r="B104" s="35" t="s">
        <v>199</v>
      </c>
      <c r="C104" s="24"/>
      <c r="D104" s="25"/>
      <c r="E104" s="29">
        <f t="shared" si="43"/>
        <v>0</v>
      </c>
      <c r="F104" s="24"/>
      <c r="G104" s="25"/>
      <c r="H104" s="29">
        <f t="shared" si="44"/>
        <v>0</v>
      </c>
      <c r="I104" s="24"/>
      <c r="J104" s="25"/>
      <c r="K104" s="29">
        <f t="shared" si="45"/>
        <v>0</v>
      </c>
      <c r="L104" s="24"/>
      <c r="M104" s="25"/>
      <c r="N104" s="29">
        <f t="shared" si="46"/>
        <v>0</v>
      </c>
      <c r="O104" s="24"/>
      <c r="P104" s="25"/>
      <c r="Q104" s="29">
        <f t="shared" si="47"/>
        <v>0</v>
      </c>
      <c r="R104" s="40">
        <f t="shared" si="48"/>
        <v>0</v>
      </c>
      <c r="S104" s="40">
        <f t="shared" si="48"/>
        <v>0</v>
      </c>
    </row>
    <row r="105" spans="1:19" ht="12.75" hidden="1">
      <c r="A105" s="34" t="s">
        <v>200</v>
      </c>
      <c r="B105" s="35" t="s">
        <v>201</v>
      </c>
      <c r="C105" s="20">
        <f aca="true" t="shared" si="50" ref="C105:P105">SUM(C106)</f>
        <v>0</v>
      </c>
      <c r="D105" s="21">
        <f t="shared" si="50"/>
        <v>0</v>
      </c>
      <c r="E105" s="28">
        <f aca="true" t="shared" si="51" ref="E105:E120">IF(OR(D105=0,C105=0),0,D105/C105)*100</f>
        <v>0</v>
      </c>
      <c r="F105" s="20">
        <f t="shared" si="50"/>
        <v>0</v>
      </c>
      <c r="G105" s="21">
        <f t="shared" si="50"/>
        <v>0</v>
      </c>
      <c r="H105" s="28">
        <f aca="true" t="shared" si="52" ref="H105:H120">IF(OR(G105=0,F105=0),0,G105/F105)*100</f>
        <v>0</v>
      </c>
      <c r="I105" s="20">
        <f t="shared" si="50"/>
        <v>0</v>
      </c>
      <c r="J105" s="21">
        <f t="shared" si="50"/>
        <v>0</v>
      </c>
      <c r="K105" s="28">
        <f aca="true" t="shared" si="53" ref="K105:K120">IF(OR(J105=0,I105=0),0,J105/I105)*100</f>
        <v>0</v>
      </c>
      <c r="L105" s="20">
        <f t="shared" si="50"/>
        <v>0</v>
      </c>
      <c r="M105" s="21">
        <f t="shared" si="50"/>
        <v>0</v>
      </c>
      <c r="N105" s="28">
        <f aca="true" t="shared" si="54" ref="N105:N120">IF(OR(M105=0,L105=0),0,M105/L105)*100</f>
        <v>0</v>
      </c>
      <c r="O105" s="20">
        <f t="shared" si="50"/>
        <v>0</v>
      </c>
      <c r="P105" s="21">
        <f t="shared" si="50"/>
        <v>0</v>
      </c>
      <c r="Q105" s="28">
        <f aca="true" t="shared" si="55" ref="Q105:Q120">IF(OR(P105=0,O105=0),0,P105/O105)*100</f>
        <v>0</v>
      </c>
      <c r="R105" s="40">
        <f aca="true" t="shared" si="56" ref="R105:S120">SUM(C105+F105+I105+L105+O105)</f>
        <v>0</v>
      </c>
      <c r="S105" s="40">
        <f t="shared" si="56"/>
        <v>0</v>
      </c>
    </row>
    <row r="106" spans="1:19" ht="12.75" hidden="1">
      <c r="A106" s="36" t="s">
        <v>202</v>
      </c>
      <c r="B106" s="17" t="s">
        <v>203</v>
      </c>
      <c r="C106" s="22"/>
      <c r="D106" s="23"/>
      <c r="E106" s="29">
        <f t="shared" si="51"/>
        <v>0</v>
      </c>
      <c r="F106" s="22"/>
      <c r="G106" s="23"/>
      <c r="H106" s="29">
        <f t="shared" si="52"/>
        <v>0</v>
      </c>
      <c r="I106" s="22"/>
      <c r="J106" s="23"/>
      <c r="K106" s="29">
        <f t="shared" si="53"/>
        <v>0</v>
      </c>
      <c r="L106" s="22"/>
      <c r="M106" s="23"/>
      <c r="N106" s="29">
        <f t="shared" si="54"/>
        <v>0</v>
      </c>
      <c r="O106" s="22"/>
      <c r="P106" s="23"/>
      <c r="Q106" s="29">
        <f t="shared" si="55"/>
        <v>0</v>
      </c>
      <c r="R106" s="40">
        <f t="shared" si="56"/>
        <v>0</v>
      </c>
      <c r="S106" s="40">
        <f t="shared" si="56"/>
        <v>0</v>
      </c>
    </row>
    <row r="107" spans="1:19" ht="12.75">
      <c r="A107" s="34" t="s">
        <v>204</v>
      </c>
      <c r="B107" s="35" t="s">
        <v>205</v>
      </c>
      <c r="C107" s="20">
        <f aca="true" t="shared" si="57" ref="C107:P107">SUM(C108+C114+C117+C118+C119+C120+C121)</f>
        <v>60231771</v>
      </c>
      <c r="D107" s="21">
        <f t="shared" si="57"/>
        <v>48624748.300000004</v>
      </c>
      <c r="E107" s="28">
        <f t="shared" si="51"/>
        <v>80.72940159770498</v>
      </c>
      <c r="F107" s="20">
        <f t="shared" si="57"/>
        <v>58558860.7</v>
      </c>
      <c r="G107" s="21">
        <f t="shared" si="57"/>
        <v>34399408</v>
      </c>
      <c r="H107" s="28">
        <f t="shared" si="52"/>
        <v>58.743301336120425</v>
      </c>
      <c r="I107" s="20">
        <f t="shared" si="57"/>
        <v>120754587</v>
      </c>
      <c r="J107" s="21">
        <f t="shared" si="57"/>
        <v>77368169</v>
      </c>
      <c r="K107" s="28">
        <f t="shared" si="53"/>
        <v>64.07058391910198</v>
      </c>
      <c r="L107" s="20">
        <f t="shared" si="57"/>
        <v>7109000</v>
      </c>
      <c r="M107" s="21">
        <f t="shared" si="57"/>
        <v>109977648.5</v>
      </c>
      <c r="N107" s="28">
        <f t="shared" si="54"/>
        <v>1547.019953579969</v>
      </c>
      <c r="O107" s="20">
        <f t="shared" si="57"/>
        <v>243254486.6</v>
      </c>
      <c r="P107" s="21">
        <f t="shared" si="57"/>
        <v>264264846.5</v>
      </c>
      <c r="Q107" s="28">
        <f t="shared" si="55"/>
        <v>108.63719316904061</v>
      </c>
      <c r="R107" s="40">
        <f t="shared" si="56"/>
        <v>489908705.29999995</v>
      </c>
      <c r="S107" s="40">
        <f t="shared" si="56"/>
        <v>534634820.3</v>
      </c>
    </row>
    <row r="108" spans="1:19" ht="12.75">
      <c r="A108" s="36" t="s">
        <v>206</v>
      </c>
      <c r="B108" s="17" t="s">
        <v>207</v>
      </c>
      <c r="C108" s="22">
        <f aca="true" t="shared" si="58" ref="C108:P108">SUM(C109:C113)</f>
        <v>5583364</v>
      </c>
      <c r="D108" s="23">
        <f t="shared" si="58"/>
        <v>5632533.1</v>
      </c>
      <c r="E108" s="29">
        <f t="shared" si="51"/>
        <v>100.88063576009014</v>
      </c>
      <c r="F108" s="22">
        <f t="shared" si="58"/>
        <v>5007758</v>
      </c>
      <c r="G108" s="23">
        <f t="shared" si="58"/>
        <v>2375158</v>
      </c>
      <c r="H108" s="29">
        <f t="shared" si="52"/>
        <v>47.429568281853875</v>
      </c>
      <c r="I108" s="22">
        <f t="shared" si="58"/>
        <v>4337737</v>
      </c>
      <c r="J108" s="23">
        <f t="shared" si="58"/>
        <v>7412409</v>
      </c>
      <c r="K108" s="29">
        <f t="shared" si="53"/>
        <v>170.8819368255844</v>
      </c>
      <c r="L108" s="22">
        <f t="shared" si="58"/>
        <v>0</v>
      </c>
      <c r="M108" s="23">
        <f t="shared" si="58"/>
        <v>0</v>
      </c>
      <c r="N108" s="29">
        <f t="shared" si="54"/>
        <v>0</v>
      </c>
      <c r="O108" s="22">
        <f t="shared" si="58"/>
        <v>32073550.4</v>
      </c>
      <c r="P108" s="23">
        <f t="shared" si="58"/>
        <v>32606550.5</v>
      </c>
      <c r="Q108" s="29">
        <f t="shared" si="55"/>
        <v>101.66180573510815</v>
      </c>
      <c r="R108" s="40">
        <f t="shared" si="56"/>
        <v>47002409.4</v>
      </c>
      <c r="S108" s="40">
        <f t="shared" si="56"/>
        <v>48026650.6</v>
      </c>
    </row>
    <row r="109" spans="1:19" ht="12.75" hidden="1">
      <c r="A109" s="36" t="s">
        <v>208</v>
      </c>
      <c r="B109" s="17" t="s">
        <v>209</v>
      </c>
      <c r="C109" s="22"/>
      <c r="D109" s="23"/>
      <c r="E109" s="29">
        <f t="shared" si="51"/>
        <v>0</v>
      </c>
      <c r="F109" s="22"/>
      <c r="G109" s="23"/>
      <c r="H109" s="29">
        <f t="shared" si="52"/>
        <v>0</v>
      </c>
      <c r="I109" s="22"/>
      <c r="J109" s="23"/>
      <c r="K109" s="29">
        <f t="shared" si="53"/>
        <v>0</v>
      </c>
      <c r="L109" s="22"/>
      <c r="M109" s="23"/>
      <c r="N109" s="29">
        <f t="shared" si="54"/>
        <v>0</v>
      </c>
      <c r="O109" s="22"/>
      <c r="P109" s="23"/>
      <c r="Q109" s="29">
        <f t="shared" si="55"/>
        <v>0</v>
      </c>
      <c r="R109" s="40">
        <f t="shared" si="56"/>
        <v>0</v>
      </c>
      <c r="S109" s="40">
        <f t="shared" si="56"/>
        <v>0</v>
      </c>
    </row>
    <row r="110" spans="1:19" ht="12.75">
      <c r="A110" s="36" t="s">
        <v>210</v>
      </c>
      <c r="B110" s="17" t="s">
        <v>211</v>
      </c>
      <c r="C110" s="22"/>
      <c r="D110" s="23"/>
      <c r="E110" s="29">
        <f t="shared" si="51"/>
        <v>0</v>
      </c>
      <c r="F110" s="22"/>
      <c r="G110" s="23"/>
      <c r="H110" s="29">
        <f t="shared" si="52"/>
        <v>0</v>
      </c>
      <c r="I110" s="22"/>
      <c r="J110" s="23"/>
      <c r="K110" s="29">
        <f t="shared" si="53"/>
        <v>0</v>
      </c>
      <c r="L110" s="22"/>
      <c r="M110" s="23"/>
      <c r="N110" s="29">
        <f t="shared" si="54"/>
        <v>0</v>
      </c>
      <c r="O110" s="22">
        <v>32073550.4</v>
      </c>
      <c r="P110" s="23">
        <v>32606550.5</v>
      </c>
      <c r="Q110" s="29">
        <f t="shared" si="55"/>
        <v>101.66180573510815</v>
      </c>
      <c r="R110" s="40">
        <f t="shared" si="56"/>
        <v>32073550.4</v>
      </c>
      <c r="S110" s="40">
        <f t="shared" si="56"/>
        <v>32606550.5</v>
      </c>
    </row>
    <row r="111" spans="1:19" ht="12.75">
      <c r="A111" s="36" t="s">
        <v>212</v>
      </c>
      <c r="B111" s="17" t="s">
        <v>213</v>
      </c>
      <c r="C111" s="22">
        <v>1</v>
      </c>
      <c r="D111" s="23"/>
      <c r="E111" s="29">
        <f t="shared" si="51"/>
        <v>0</v>
      </c>
      <c r="F111" s="22">
        <v>2300000</v>
      </c>
      <c r="G111" s="23"/>
      <c r="H111" s="29">
        <f t="shared" si="52"/>
        <v>0</v>
      </c>
      <c r="I111" s="22">
        <v>2</v>
      </c>
      <c r="J111" s="23">
        <v>1054</v>
      </c>
      <c r="K111" s="29">
        <f t="shared" si="53"/>
        <v>52700</v>
      </c>
      <c r="L111" s="22"/>
      <c r="M111" s="23"/>
      <c r="N111" s="29">
        <f t="shared" si="54"/>
        <v>0</v>
      </c>
      <c r="O111" s="22"/>
      <c r="P111" s="23"/>
      <c r="Q111" s="29">
        <f t="shared" si="55"/>
        <v>0</v>
      </c>
      <c r="R111" s="40">
        <f t="shared" si="56"/>
        <v>2300003</v>
      </c>
      <c r="S111" s="40">
        <f t="shared" si="56"/>
        <v>1054</v>
      </c>
    </row>
    <row r="112" spans="1:19" ht="12.75">
      <c r="A112" s="36" t="s">
        <v>214</v>
      </c>
      <c r="B112" s="17" t="s">
        <v>215</v>
      </c>
      <c r="C112" s="22">
        <v>1412384</v>
      </c>
      <c r="D112" s="23">
        <v>1461555</v>
      </c>
      <c r="E112" s="29">
        <f t="shared" si="51"/>
        <v>103.48141865101843</v>
      </c>
      <c r="F112" s="22">
        <v>1785700</v>
      </c>
      <c r="G112" s="23">
        <v>1453102</v>
      </c>
      <c r="H112" s="29">
        <f t="shared" si="52"/>
        <v>81.37436299490396</v>
      </c>
      <c r="I112" s="22">
        <v>1232000</v>
      </c>
      <c r="J112" s="23">
        <v>4305621</v>
      </c>
      <c r="K112" s="29">
        <f t="shared" si="53"/>
        <v>349.482224025974</v>
      </c>
      <c r="L112" s="22"/>
      <c r="M112" s="23"/>
      <c r="N112" s="29">
        <f t="shared" si="54"/>
        <v>0</v>
      </c>
      <c r="O112" s="22"/>
      <c r="P112" s="23"/>
      <c r="Q112" s="29">
        <f t="shared" si="55"/>
        <v>0</v>
      </c>
      <c r="R112" s="40">
        <f t="shared" si="56"/>
        <v>4430084</v>
      </c>
      <c r="S112" s="40">
        <f t="shared" si="56"/>
        <v>7220278</v>
      </c>
    </row>
    <row r="113" spans="1:19" ht="12.75">
      <c r="A113" s="36" t="s">
        <v>216</v>
      </c>
      <c r="B113" s="17" t="s">
        <v>217</v>
      </c>
      <c r="C113" s="22">
        <v>4170979</v>
      </c>
      <c r="D113" s="23">
        <v>4170978.1</v>
      </c>
      <c r="E113" s="29">
        <f t="shared" si="51"/>
        <v>99.99997842233202</v>
      </c>
      <c r="F113" s="22">
        <v>922058</v>
      </c>
      <c r="G113" s="23">
        <v>922056</v>
      </c>
      <c r="H113" s="29">
        <f t="shared" si="52"/>
        <v>99.99978309390517</v>
      </c>
      <c r="I113" s="22">
        <v>3105735</v>
      </c>
      <c r="J113" s="23">
        <v>3105734</v>
      </c>
      <c r="K113" s="29">
        <f t="shared" si="53"/>
        <v>99.9999678015027</v>
      </c>
      <c r="L113" s="22"/>
      <c r="M113" s="23"/>
      <c r="N113" s="29">
        <f t="shared" si="54"/>
        <v>0</v>
      </c>
      <c r="O113" s="22"/>
      <c r="P113" s="23"/>
      <c r="Q113" s="29">
        <f t="shared" si="55"/>
        <v>0</v>
      </c>
      <c r="R113" s="40">
        <f t="shared" si="56"/>
        <v>8198772</v>
      </c>
      <c r="S113" s="40">
        <f t="shared" si="56"/>
        <v>8198768.1</v>
      </c>
    </row>
    <row r="114" spans="1:19" ht="12.75">
      <c r="A114" s="34" t="s">
        <v>218</v>
      </c>
      <c r="B114" s="35" t="s">
        <v>219</v>
      </c>
      <c r="C114" s="20">
        <f aca="true" t="shared" si="59" ref="C114:P114">SUM(C115:C116)</f>
        <v>54202049</v>
      </c>
      <c r="D114" s="21">
        <f t="shared" si="59"/>
        <v>42651844.6</v>
      </c>
      <c r="E114" s="28">
        <f t="shared" si="51"/>
        <v>78.69046537336624</v>
      </c>
      <c r="F114" s="20">
        <f t="shared" si="59"/>
        <v>52894220.7</v>
      </c>
      <c r="G114" s="21">
        <f t="shared" si="59"/>
        <v>32024250</v>
      </c>
      <c r="H114" s="28">
        <f t="shared" si="52"/>
        <v>60.54394899138763</v>
      </c>
      <c r="I114" s="20">
        <f t="shared" si="59"/>
        <v>115495674</v>
      </c>
      <c r="J114" s="21">
        <f t="shared" si="59"/>
        <v>69894809</v>
      </c>
      <c r="K114" s="28">
        <f t="shared" si="53"/>
        <v>60.51725279338168</v>
      </c>
      <c r="L114" s="20">
        <f t="shared" si="59"/>
        <v>0</v>
      </c>
      <c r="M114" s="21">
        <f t="shared" si="59"/>
        <v>92030702.41</v>
      </c>
      <c r="N114" s="28">
        <f t="shared" si="54"/>
        <v>0</v>
      </c>
      <c r="O114" s="20">
        <f t="shared" si="59"/>
        <v>187000000</v>
      </c>
      <c r="P114" s="21">
        <f t="shared" si="59"/>
        <v>187000156</v>
      </c>
      <c r="Q114" s="28">
        <f t="shared" si="55"/>
        <v>100.0000834224599</v>
      </c>
      <c r="R114" s="40">
        <f t="shared" si="56"/>
        <v>409591943.7</v>
      </c>
      <c r="S114" s="40">
        <f t="shared" si="56"/>
        <v>423601762.01</v>
      </c>
    </row>
    <row r="115" spans="1:19" ht="12.75">
      <c r="A115" s="36" t="s">
        <v>220</v>
      </c>
      <c r="B115" s="17" t="s">
        <v>221</v>
      </c>
      <c r="C115" s="22">
        <v>40914600</v>
      </c>
      <c r="D115" s="23">
        <v>32925535.5</v>
      </c>
      <c r="E115" s="29">
        <f t="shared" si="51"/>
        <v>80.47380519423383</v>
      </c>
      <c r="F115" s="22">
        <v>46992900.5</v>
      </c>
      <c r="G115" s="23">
        <v>29761205</v>
      </c>
      <c r="H115" s="29">
        <f t="shared" si="52"/>
        <v>63.331279157795336</v>
      </c>
      <c r="I115" s="22">
        <v>108555600</v>
      </c>
      <c r="J115" s="23">
        <v>68684882</v>
      </c>
      <c r="K115" s="29">
        <f t="shared" si="53"/>
        <v>63.271615651334436</v>
      </c>
      <c r="L115" s="22"/>
      <c r="M115" s="23">
        <v>92030702.41</v>
      </c>
      <c r="N115" s="29">
        <f t="shared" si="54"/>
        <v>0</v>
      </c>
      <c r="O115" s="22">
        <v>187000000</v>
      </c>
      <c r="P115" s="23">
        <v>187000156</v>
      </c>
      <c r="Q115" s="29">
        <f t="shared" si="55"/>
        <v>100.0000834224599</v>
      </c>
      <c r="R115" s="40">
        <f t="shared" si="56"/>
        <v>383463100.5</v>
      </c>
      <c r="S115" s="40">
        <f t="shared" si="56"/>
        <v>410402480.90999997</v>
      </c>
    </row>
    <row r="116" spans="1:19" ht="12.75">
      <c r="A116" s="36" t="s">
        <v>222</v>
      </c>
      <c r="B116" s="17" t="s">
        <v>223</v>
      </c>
      <c r="C116" s="22">
        <v>13287449</v>
      </c>
      <c r="D116" s="23">
        <v>9726309.1</v>
      </c>
      <c r="E116" s="29">
        <f t="shared" si="51"/>
        <v>73.19922055768568</v>
      </c>
      <c r="F116" s="22">
        <v>5901320.2</v>
      </c>
      <c r="G116" s="23">
        <v>2263045</v>
      </c>
      <c r="H116" s="29">
        <f t="shared" si="52"/>
        <v>38.34811403726237</v>
      </c>
      <c r="I116" s="22">
        <v>6940074</v>
      </c>
      <c r="J116" s="23">
        <v>1209927</v>
      </c>
      <c r="K116" s="29">
        <f t="shared" si="53"/>
        <v>17.433920733410048</v>
      </c>
      <c r="L116" s="22"/>
      <c r="M116" s="23"/>
      <c r="N116" s="29">
        <f t="shared" si="54"/>
        <v>0</v>
      </c>
      <c r="O116" s="22"/>
      <c r="P116" s="23"/>
      <c r="Q116" s="29">
        <f t="shared" si="55"/>
        <v>0</v>
      </c>
      <c r="R116" s="40">
        <f t="shared" si="56"/>
        <v>26128843.2</v>
      </c>
      <c r="S116" s="40">
        <f t="shared" si="56"/>
        <v>13199281.1</v>
      </c>
    </row>
    <row r="117" spans="1:19" ht="12.75">
      <c r="A117" s="36" t="s">
        <v>224</v>
      </c>
      <c r="B117" s="17" t="s">
        <v>225</v>
      </c>
      <c r="C117" s="22"/>
      <c r="D117" s="23"/>
      <c r="E117" s="29">
        <f t="shared" si="51"/>
        <v>0</v>
      </c>
      <c r="F117" s="22"/>
      <c r="G117" s="23"/>
      <c r="H117" s="29">
        <f t="shared" si="52"/>
        <v>0</v>
      </c>
      <c r="I117" s="22"/>
      <c r="J117" s="23"/>
      <c r="K117" s="29">
        <f t="shared" si="53"/>
        <v>0</v>
      </c>
      <c r="L117" s="22">
        <v>7109000</v>
      </c>
      <c r="M117" s="23">
        <v>17946946.09</v>
      </c>
      <c r="N117" s="29">
        <f t="shared" si="54"/>
        <v>252.4538766352511</v>
      </c>
      <c r="O117" s="22">
        <v>13139934.2</v>
      </c>
      <c r="P117" s="23">
        <v>42170069</v>
      </c>
      <c r="Q117" s="29">
        <f t="shared" si="55"/>
        <v>320.9305949188087</v>
      </c>
      <c r="R117" s="40">
        <f t="shared" si="56"/>
        <v>20248934.2</v>
      </c>
      <c r="S117" s="40">
        <f t="shared" si="56"/>
        <v>60117015.09</v>
      </c>
    </row>
    <row r="118" spans="1:19" ht="12.75">
      <c r="A118" s="36" t="s">
        <v>226</v>
      </c>
      <c r="B118" s="17" t="s">
        <v>227</v>
      </c>
      <c r="C118" s="22">
        <v>446357</v>
      </c>
      <c r="D118" s="23">
        <v>340370.6</v>
      </c>
      <c r="E118" s="29">
        <f t="shared" si="51"/>
        <v>76.25523964001908</v>
      </c>
      <c r="F118" s="22">
        <v>656881</v>
      </c>
      <c r="G118" s="23"/>
      <c r="H118" s="29">
        <f t="shared" si="52"/>
        <v>0</v>
      </c>
      <c r="I118" s="22">
        <v>921176</v>
      </c>
      <c r="J118" s="23">
        <v>60951</v>
      </c>
      <c r="K118" s="29">
        <f t="shared" si="53"/>
        <v>6.616650889732255</v>
      </c>
      <c r="L118" s="22"/>
      <c r="M118" s="23"/>
      <c r="N118" s="29">
        <f t="shared" si="54"/>
        <v>0</v>
      </c>
      <c r="O118" s="22"/>
      <c r="P118" s="23"/>
      <c r="Q118" s="29">
        <f t="shared" si="55"/>
        <v>0</v>
      </c>
      <c r="R118" s="40">
        <f t="shared" si="56"/>
        <v>2024414</v>
      </c>
      <c r="S118" s="40">
        <f t="shared" si="56"/>
        <v>401321.6</v>
      </c>
    </row>
    <row r="119" spans="1:19" ht="12.75">
      <c r="A119" s="36" t="s">
        <v>228</v>
      </c>
      <c r="B119" s="17" t="s">
        <v>229</v>
      </c>
      <c r="C119" s="22"/>
      <c r="D119" s="23"/>
      <c r="E119" s="29">
        <f t="shared" si="51"/>
        <v>0</v>
      </c>
      <c r="F119" s="22"/>
      <c r="G119" s="23"/>
      <c r="H119" s="29">
        <f t="shared" si="52"/>
        <v>0</v>
      </c>
      <c r="I119" s="22"/>
      <c r="J119" s="23"/>
      <c r="K119" s="29">
        <f t="shared" si="53"/>
        <v>0</v>
      </c>
      <c r="L119" s="22"/>
      <c r="M119" s="23"/>
      <c r="N119" s="29">
        <f t="shared" si="54"/>
        <v>0</v>
      </c>
      <c r="O119" s="22">
        <v>5000000</v>
      </c>
      <c r="P119" s="23">
        <v>1694704</v>
      </c>
      <c r="Q119" s="29">
        <f t="shared" si="55"/>
        <v>33.894079999999995</v>
      </c>
      <c r="R119" s="40">
        <f t="shared" si="56"/>
        <v>5000000</v>
      </c>
      <c r="S119" s="40">
        <f t="shared" si="56"/>
        <v>1694704</v>
      </c>
    </row>
    <row r="120" spans="1:19" ht="12.75" hidden="1">
      <c r="A120" s="36" t="s">
        <v>230</v>
      </c>
      <c r="B120" s="17" t="s">
        <v>231</v>
      </c>
      <c r="C120" s="22"/>
      <c r="D120" s="23"/>
      <c r="E120" s="29">
        <f t="shared" si="51"/>
        <v>0</v>
      </c>
      <c r="F120" s="22"/>
      <c r="G120" s="23"/>
      <c r="H120" s="29">
        <f t="shared" si="52"/>
        <v>0</v>
      </c>
      <c r="I120" s="22"/>
      <c r="J120" s="23"/>
      <c r="K120" s="29">
        <f t="shared" si="53"/>
        <v>0</v>
      </c>
      <c r="L120" s="22"/>
      <c r="M120" s="23"/>
      <c r="N120" s="29">
        <f t="shared" si="54"/>
        <v>0</v>
      </c>
      <c r="O120" s="22"/>
      <c r="P120" s="23"/>
      <c r="Q120" s="29">
        <f t="shared" si="55"/>
        <v>0</v>
      </c>
      <c r="R120" s="40">
        <f t="shared" si="56"/>
        <v>0</v>
      </c>
      <c r="S120" s="40">
        <f t="shared" si="56"/>
        <v>0</v>
      </c>
    </row>
    <row r="121" spans="1:19" ht="13.5" thickBot="1">
      <c r="A121" s="36" t="s">
        <v>232</v>
      </c>
      <c r="B121" s="17" t="s">
        <v>233</v>
      </c>
      <c r="C121" s="22">
        <v>1</v>
      </c>
      <c r="D121" s="23"/>
      <c r="E121" s="30">
        <f>IF(OR(D121=0,C121=0),0,D121/C121)*100</f>
        <v>0</v>
      </c>
      <c r="F121" s="22">
        <v>1</v>
      </c>
      <c r="G121" s="23"/>
      <c r="H121" s="30">
        <f>IF(OR(G121=0,F121=0),0,G121/F121)*100</f>
        <v>0</v>
      </c>
      <c r="I121" s="22"/>
      <c r="J121" s="23"/>
      <c r="K121" s="30">
        <f>IF(OR(J121=0,I121=0),0,J121/I121)*100</f>
        <v>0</v>
      </c>
      <c r="L121" s="22"/>
      <c r="M121" s="23"/>
      <c r="N121" s="30">
        <f>IF(OR(M121=0,L121=0),0,M121/L121)*100</f>
        <v>0</v>
      </c>
      <c r="O121" s="22">
        <f>41002+6000000</f>
        <v>6041002</v>
      </c>
      <c r="P121" s="23">
        <v>793367</v>
      </c>
      <c r="Q121" s="30">
        <f>IF(OR(P121=0,O121=0),0,P121/O121)*100</f>
        <v>13.133036539302587</v>
      </c>
      <c r="R121" s="40">
        <f>SUM(C121+F121+I121+L121+O121)</f>
        <v>6041004</v>
      </c>
      <c r="S121" s="40">
        <f>SUM(D121+G121+J121+M121+P121)</f>
        <v>793367</v>
      </c>
    </row>
    <row r="122" spans="1:19" ht="13.5" thickBot="1">
      <c r="A122" s="37" t="s">
        <v>234</v>
      </c>
      <c r="B122" s="39" t="s">
        <v>235</v>
      </c>
      <c r="C122" s="27">
        <f aca="true" t="shared" si="60" ref="C122:P122">SUM(C8+C77+C105+C107)</f>
        <v>212948325</v>
      </c>
      <c r="D122" s="26">
        <f t="shared" si="60"/>
        <v>183435581.4</v>
      </c>
      <c r="E122" s="31">
        <f>IF(OR(D122=0,C122=0),0,D122/C122)*100</f>
        <v>86.14088953270705</v>
      </c>
      <c r="F122" s="27">
        <f t="shared" si="60"/>
        <v>278103933.7</v>
      </c>
      <c r="G122" s="26">
        <f t="shared" si="60"/>
        <v>227308257</v>
      </c>
      <c r="H122" s="31">
        <f>IF(OR(G122=0,F122=0),0,G122/F122)*100</f>
        <v>81.73500244164292</v>
      </c>
      <c r="I122" s="27">
        <f t="shared" si="60"/>
        <v>401854138</v>
      </c>
      <c r="J122" s="26">
        <f t="shared" si="60"/>
        <v>340129262</v>
      </c>
      <c r="K122" s="31">
        <f>IF(OR(J122=0,I122=0),0,J122/I122)*100</f>
        <v>84.63997999194423</v>
      </c>
      <c r="L122" s="27">
        <f t="shared" si="60"/>
        <v>448922753.7</v>
      </c>
      <c r="M122" s="26">
        <f t="shared" si="60"/>
        <v>641038401.1800001</v>
      </c>
      <c r="N122" s="31">
        <f>IF(OR(M122=0,L122=0),0,M122/L122)*100</f>
        <v>142.7948117792186</v>
      </c>
      <c r="O122" s="27">
        <f t="shared" si="60"/>
        <v>919527040.3</v>
      </c>
      <c r="P122" s="26">
        <f t="shared" si="60"/>
        <v>968224892.5</v>
      </c>
      <c r="Q122" s="31">
        <f>IF(OR(P122=0,O122=0),0,P122/O122)*100</f>
        <v>105.29596739037845</v>
      </c>
      <c r="R122" s="40">
        <f>SUM(C122+F122+I122+L122+O122)</f>
        <v>2261356190.7</v>
      </c>
      <c r="S122" s="40">
        <f>SUM(D122+G122+J122+M122+P122)</f>
        <v>2360136394.08</v>
      </c>
    </row>
    <row r="123" spans="10:15" ht="12.75">
      <c r="J123" s="40"/>
      <c r="L123">
        <v>642351600</v>
      </c>
      <c r="M123">
        <v>654082300</v>
      </c>
      <c r="O123" s="40"/>
    </row>
    <row r="124" ht="12.75">
      <c r="J124" s="40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orientation="landscape" scale="75" r:id="rId1"/>
  <headerFooter alignWithMargins="0">
    <oddHeader>&amp;L&amp;"Arial,Negrita"&amp;8CONTRALORIA DE SANTA FE DE BOGOTA
UNIDAD DE FINANZAS PUBLICAS
DIVISION DE ANALISIS ECONOMICO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PPTALES.</dc:title>
  <dc:subject>AÑOS 1991 A 1995</dc:subject>
  <dc:creator>Acer</dc:creator>
  <cp:keywords>ESTADIST</cp:keywords>
  <dc:description/>
  <cp:lastModifiedBy>rgonzalez</cp:lastModifiedBy>
  <dcterms:created xsi:type="dcterms:W3CDTF">2001-09-13T19:12:23Z</dcterms:created>
  <dcterms:modified xsi:type="dcterms:W3CDTF">2005-12-20T17:40:28Z</dcterms:modified>
  <cp:category/>
  <cp:version/>
  <cp:contentType/>
  <cp:contentStatus/>
</cp:coreProperties>
</file>